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ah\Documents\UNDIP SMT 2\Paper 2\New folder\"/>
    </mc:Choice>
  </mc:AlternateContent>
  <xr:revisionPtr revIDLastSave="0" documentId="13_ncr:1_{7C3F2206-E80C-49FC-BE32-F4D5CEDFF4F3}" xr6:coauthVersionLast="47" xr6:coauthVersionMax="47" xr10:uidLastSave="{00000000-0000-0000-0000-000000000000}"/>
  <bookViews>
    <workbookView xWindow="-110" yWindow="-110" windowWidth="19420" windowHeight="10300" activeTab="1" xr2:uid="{8C049FA8-1AA2-425B-B962-EC7F3EF5E238}"/>
  </bookViews>
  <sheets>
    <sheet name="potensi" sheetId="2" r:id="rId1"/>
    <sheet name="Finasial" sheetId="1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D141" i="1"/>
  <c r="M132" i="1"/>
  <c r="H132" i="1"/>
  <c r="G132" i="1"/>
  <c r="F132" i="1"/>
  <c r="S128" i="1"/>
  <c r="R128" i="1"/>
  <c r="P128" i="1"/>
  <c r="O128" i="1"/>
  <c r="F128" i="1"/>
  <c r="E128" i="1"/>
  <c r="T127" i="1"/>
  <c r="T128" i="1" s="1"/>
  <c r="S127" i="1"/>
  <c r="R127" i="1"/>
  <c r="Q127" i="1"/>
  <c r="Q128" i="1" s="1"/>
  <c r="P127" i="1"/>
  <c r="O127" i="1"/>
  <c r="N127" i="1"/>
  <c r="N128" i="1" s="1"/>
  <c r="M127" i="1"/>
  <c r="M128" i="1" s="1"/>
  <c r="L127" i="1"/>
  <c r="L128" i="1" s="1"/>
  <c r="K127" i="1"/>
  <c r="K128" i="1" s="1"/>
  <c r="J127" i="1"/>
  <c r="J128" i="1" s="1"/>
  <c r="I127" i="1"/>
  <c r="I128" i="1" s="1"/>
  <c r="H127" i="1"/>
  <c r="H128" i="1" s="1"/>
  <c r="G127" i="1"/>
  <c r="G128" i="1" s="1"/>
  <c r="F127" i="1"/>
  <c r="D126" i="1"/>
  <c r="Q123" i="1"/>
  <c r="P123" i="1"/>
  <c r="O123" i="1"/>
  <c r="N123" i="1"/>
  <c r="M123" i="1"/>
  <c r="L123" i="1"/>
  <c r="K123" i="1"/>
  <c r="J123" i="1"/>
  <c r="J122" i="1"/>
  <c r="I122" i="1"/>
  <c r="H122" i="1"/>
  <c r="T117" i="1"/>
  <c r="S117" i="1"/>
  <c r="R117" i="1"/>
  <c r="Q117" i="1"/>
  <c r="N117" i="1"/>
  <c r="L117" i="1"/>
  <c r="I117" i="1"/>
  <c r="H117" i="1"/>
  <c r="G117" i="1"/>
  <c r="F117" i="1"/>
  <c r="E116" i="1"/>
  <c r="D116" i="1"/>
  <c r="N115" i="1"/>
  <c r="L115" i="1"/>
  <c r="I115" i="1"/>
  <c r="G115" i="1"/>
  <c r="S113" i="1"/>
  <c r="S118" i="1" s="1"/>
  <c r="R113" i="1"/>
  <c r="Q113" i="1"/>
  <c r="M113" i="1"/>
  <c r="K113" i="1"/>
  <c r="J113" i="1"/>
  <c r="I113" i="1"/>
  <c r="E112" i="1"/>
  <c r="D112" i="1"/>
  <c r="E108" i="1"/>
  <c r="D108" i="1" s="1"/>
  <c r="T107" i="1"/>
  <c r="S107" i="1"/>
  <c r="S115" i="1" s="1"/>
  <c r="R107" i="1"/>
  <c r="Q107" i="1"/>
  <c r="P107" i="1"/>
  <c r="P117" i="1" s="1"/>
  <c r="O107" i="1"/>
  <c r="O117" i="1" s="1"/>
  <c r="N107" i="1"/>
  <c r="M107" i="1"/>
  <c r="L107" i="1"/>
  <c r="K107" i="1"/>
  <c r="J107" i="1"/>
  <c r="I107" i="1"/>
  <c r="H107" i="1"/>
  <c r="G107" i="1"/>
  <c r="F107" i="1"/>
  <c r="E107" i="1"/>
  <c r="D107" i="1" s="1"/>
  <c r="D90" i="1"/>
  <c r="R82" i="1"/>
  <c r="Q82" i="1"/>
  <c r="P82" i="1"/>
  <c r="O82" i="1"/>
  <c r="N82" i="1"/>
  <c r="M82" i="1"/>
  <c r="L82" i="1"/>
  <c r="N81" i="1"/>
  <c r="L81" i="1"/>
  <c r="K81" i="1"/>
  <c r="J81" i="1"/>
  <c r="F81" i="1"/>
  <c r="I76" i="1"/>
  <c r="H76" i="1"/>
  <c r="G76" i="1"/>
  <c r="E75" i="1"/>
  <c r="D75" i="1"/>
  <c r="Q74" i="1"/>
  <c r="P74" i="1"/>
  <c r="O74" i="1"/>
  <c r="N74" i="1"/>
  <c r="M74" i="1"/>
  <c r="K74" i="1"/>
  <c r="I74" i="1"/>
  <c r="H74" i="1"/>
  <c r="E69" i="1"/>
  <c r="D69" i="1"/>
  <c r="E67" i="1"/>
  <c r="D67" i="1"/>
  <c r="T66" i="1"/>
  <c r="T74" i="1" s="1"/>
  <c r="S66" i="1"/>
  <c r="R66" i="1"/>
  <c r="R74" i="1" s="1"/>
  <c r="Q66" i="1"/>
  <c r="P66" i="1"/>
  <c r="O66" i="1"/>
  <c r="N66" i="1"/>
  <c r="M66" i="1"/>
  <c r="L66" i="1"/>
  <c r="L74" i="1" s="1"/>
  <c r="K66" i="1"/>
  <c r="J66" i="1"/>
  <c r="J74" i="1" s="1"/>
  <c r="I66" i="1"/>
  <c r="H66" i="1"/>
  <c r="G66" i="1"/>
  <c r="G74" i="1" s="1"/>
  <c r="F66" i="1"/>
  <c r="E66" i="1"/>
  <c r="D56" i="1"/>
  <c r="D34" i="1"/>
  <c r="D27" i="1"/>
  <c r="W26" i="1"/>
  <c r="E26" i="1"/>
  <c r="W25" i="1"/>
  <c r="W24" i="1"/>
  <c r="D24" i="1"/>
  <c r="D18" i="1"/>
  <c r="E79" i="1" s="1"/>
  <c r="D11" i="1"/>
  <c r="D10" i="1"/>
  <c r="D9" i="1"/>
  <c r="D3" i="1"/>
  <c r="O113" i="1" s="1"/>
  <c r="Q121" i="1" l="1"/>
  <c r="S80" i="1"/>
  <c r="G80" i="1"/>
  <c r="O121" i="1"/>
  <c r="Q80" i="1"/>
  <c r="I121" i="1"/>
  <c r="E83" i="1"/>
  <c r="K80" i="1"/>
  <c r="K83" i="1" s="1"/>
  <c r="H121" i="1"/>
  <c r="H124" i="1" s="1"/>
  <c r="J80" i="1"/>
  <c r="J83" i="1" s="1"/>
  <c r="G121" i="1"/>
  <c r="G124" i="1" s="1"/>
  <c r="G125" i="1" s="1"/>
  <c r="G129" i="1" s="1"/>
  <c r="I80" i="1"/>
  <c r="R121" i="1"/>
  <c r="T80" i="1"/>
  <c r="N121" i="1"/>
  <c r="R80" i="1"/>
  <c r="M121" i="1"/>
  <c r="M124" i="1" s="1"/>
  <c r="P80" i="1"/>
  <c r="J121" i="1"/>
  <c r="J124" i="1" s="1"/>
  <c r="P121" i="1"/>
  <c r="P124" i="1" s="1"/>
  <c r="L121" i="1"/>
  <c r="O80" i="1"/>
  <c r="O83" i="1" s="1"/>
  <c r="K121" i="1"/>
  <c r="K124" i="1" s="1"/>
  <c r="N80" i="1"/>
  <c r="N83" i="1" s="1"/>
  <c r="M80" i="1"/>
  <c r="M83" i="1" s="1"/>
  <c r="H80" i="1"/>
  <c r="F80" i="1"/>
  <c r="D79" i="1"/>
  <c r="T121" i="1"/>
  <c r="S121" i="1"/>
  <c r="L80" i="1"/>
  <c r="L83" i="1" s="1"/>
  <c r="F76" i="1"/>
  <c r="D76" i="1" s="1"/>
  <c r="P72" i="1"/>
  <c r="N72" i="1"/>
  <c r="I72" i="1"/>
  <c r="I77" i="1" s="1"/>
  <c r="G72" i="1"/>
  <c r="G77" i="1" s="1"/>
  <c r="F74" i="1"/>
  <c r="D74" i="1" s="1"/>
  <c r="T72" i="1"/>
  <c r="M72" i="1"/>
  <c r="S72" i="1"/>
  <c r="R72" i="1"/>
  <c r="Q72" i="1"/>
  <c r="O72" i="1"/>
  <c r="O77" i="1" s="1"/>
  <c r="E120" i="1"/>
  <c r="R76" i="1"/>
  <c r="P76" i="1"/>
  <c r="Q76" i="1"/>
  <c r="N76" i="1"/>
  <c r="T76" i="1"/>
  <c r="S76" i="1"/>
  <c r="O76" i="1"/>
  <c r="M76" i="1"/>
  <c r="L76" i="1"/>
  <c r="K76" i="1"/>
  <c r="J76" i="1"/>
  <c r="J115" i="1"/>
  <c r="J117" i="1"/>
  <c r="D117" i="1" s="1"/>
  <c r="K117" i="1"/>
  <c r="K115" i="1"/>
  <c r="M117" i="1"/>
  <c r="M115" i="1"/>
  <c r="F72" i="1"/>
  <c r="O118" i="1"/>
  <c r="H72" i="1"/>
  <c r="H77" i="1" s="1"/>
  <c r="E118" i="1"/>
  <c r="J72" i="1"/>
  <c r="J77" i="1" s="1"/>
  <c r="J84" i="1" s="1"/>
  <c r="D127" i="1"/>
  <c r="D128" i="1" s="1"/>
  <c r="M122" i="1"/>
  <c r="O81" i="1"/>
  <c r="K122" i="1"/>
  <c r="M81" i="1"/>
  <c r="G122" i="1"/>
  <c r="I81" i="1"/>
  <c r="T122" i="1"/>
  <c r="F122" i="1"/>
  <c r="H81" i="1"/>
  <c r="S122" i="1"/>
  <c r="G81" i="1"/>
  <c r="D81" i="1" s="1"/>
  <c r="R122" i="1"/>
  <c r="T81" i="1"/>
  <c r="P122" i="1"/>
  <c r="O122" i="1"/>
  <c r="R81" i="1"/>
  <c r="N122" i="1"/>
  <c r="Q81" i="1"/>
  <c r="P81" i="1"/>
  <c r="Q122" i="1"/>
  <c r="S81" i="1"/>
  <c r="L122" i="1"/>
  <c r="K72" i="1"/>
  <c r="K77" i="1" s="1"/>
  <c r="L72" i="1"/>
  <c r="L77" i="1" s="1"/>
  <c r="L84" i="1" s="1"/>
  <c r="K118" i="1"/>
  <c r="M118" i="1"/>
  <c r="H82" i="1"/>
  <c r="H115" i="1"/>
  <c r="I118" i="1"/>
  <c r="L132" i="1"/>
  <c r="K132" i="1"/>
  <c r="J132" i="1"/>
  <c r="I132" i="1"/>
  <c r="Q132" i="1"/>
  <c r="P132" i="1"/>
  <c r="O132" i="1"/>
  <c r="N132" i="1"/>
  <c r="R132" i="1"/>
  <c r="O115" i="1"/>
  <c r="S132" i="1"/>
  <c r="I123" i="1"/>
  <c r="K82" i="1"/>
  <c r="E71" i="1"/>
  <c r="D71" i="1" s="1"/>
  <c r="S123" i="1"/>
  <c r="G123" i="1"/>
  <c r="I82" i="1"/>
  <c r="R123" i="1"/>
  <c r="F123" i="1"/>
  <c r="G82" i="1"/>
  <c r="G113" i="1"/>
  <c r="G118" i="1" s="1"/>
  <c r="T82" i="1"/>
  <c r="F82" i="1"/>
  <c r="D82" i="1" s="1"/>
  <c r="T123" i="1"/>
  <c r="R115" i="1"/>
  <c r="R118" i="1" s="1"/>
  <c r="T113" i="1"/>
  <c r="T118" i="1" s="1"/>
  <c r="F113" i="1"/>
  <c r="S82" i="1"/>
  <c r="S74" i="1"/>
  <c r="T115" i="1"/>
  <c r="P115" i="1"/>
  <c r="T132" i="1"/>
  <c r="J82" i="1"/>
  <c r="P113" i="1"/>
  <c r="P118" i="1" s="1"/>
  <c r="Q115" i="1"/>
  <c r="Q118" i="1" s="1"/>
  <c r="H123" i="1"/>
  <c r="D66" i="1"/>
  <c r="E70" i="1"/>
  <c r="E111" i="1"/>
  <c r="D111" i="1" s="1"/>
  <c r="E110" i="1"/>
  <c r="D110" i="1" s="1"/>
  <c r="N113" i="1"/>
  <c r="N118" i="1" s="1"/>
  <c r="L113" i="1"/>
  <c r="L118" i="1" s="1"/>
  <c r="H113" i="1"/>
  <c r="H118" i="1" s="1"/>
  <c r="F115" i="1"/>
  <c r="K125" i="1" l="1"/>
  <c r="K129" i="1" s="1"/>
  <c r="J118" i="1"/>
  <c r="H84" i="1"/>
  <c r="H125" i="1"/>
  <c r="H129" i="1" s="1"/>
  <c r="P125" i="1"/>
  <c r="P129" i="1" s="1"/>
  <c r="D72" i="1"/>
  <c r="F77" i="1"/>
  <c r="F84" i="1" s="1"/>
  <c r="J125" i="1"/>
  <c r="J129" i="1" s="1"/>
  <c r="S124" i="1"/>
  <c r="I124" i="1"/>
  <c r="I125" i="1" s="1"/>
  <c r="I129" i="1" s="1"/>
  <c r="I84" i="1"/>
  <c r="T124" i="1"/>
  <c r="Q83" i="1"/>
  <c r="S77" i="1"/>
  <c r="D83" i="1"/>
  <c r="O124" i="1"/>
  <c r="O125" i="1" s="1"/>
  <c r="O129" i="1" s="1"/>
  <c r="N77" i="1"/>
  <c r="N84" i="1" s="1"/>
  <c r="F83" i="1"/>
  <c r="D80" i="1"/>
  <c r="N124" i="1"/>
  <c r="N125" i="1" s="1"/>
  <c r="N129" i="1" s="1"/>
  <c r="G83" i="1"/>
  <c r="D122" i="1"/>
  <c r="O84" i="1"/>
  <c r="L124" i="1"/>
  <c r="L125" i="1" s="1"/>
  <c r="L129" i="1" s="1"/>
  <c r="G84" i="1"/>
  <c r="Q77" i="1"/>
  <c r="I140" i="1"/>
  <c r="O92" i="1"/>
  <c r="T140" i="1"/>
  <c r="H140" i="1"/>
  <c r="S140" i="1"/>
  <c r="G140" i="1"/>
  <c r="M92" i="1"/>
  <c r="R140" i="1"/>
  <c r="F140" i="1"/>
  <c r="J140" i="1"/>
  <c r="G92" i="1"/>
  <c r="T92" i="1"/>
  <c r="F92" i="1"/>
  <c r="S92" i="1"/>
  <c r="I92" i="1"/>
  <c r="H92" i="1"/>
  <c r="P140" i="1"/>
  <c r="Q140" i="1"/>
  <c r="R92" i="1"/>
  <c r="Q92" i="1"/>
  <c r="O140" i="1"/>
  <c r="N140" i="1"/>
  <c r="M140" i="1"/>
  <c r="L140" i="1"/>
  <c r="K140" i="1"/>
  <c r="P92" i="1"/>
  <c r="N92" i="1"/>
  <c r="L92" i="1"/>
  <c r="K92" i="1"/>
  <c r="J92" i="1"/>
  <c r="E88" i="1"/>
  <c r="D123" i="1"/>
  <c r="P83" i="1"/>
  <c r="R77" i="1"/>
  <c r="R84" i="1" s="1"/>
  <c r="M125" i="1"/>
  <c r="M129" i="1" s="1"/>
  <c r="D70" i="1"/>
  <c r="D77" i="1" s="1"/>
  <c r="E77" i="1"/>
  <c r="R83" i="1"/>
  <c r="D115" i="1"/>
  <c r="F118" i="1"/>
  <c r="D113" i="1"/>
  <c r="D118" i="1" s="1"/>
  <c r="M77" i="1"/>
  <c r="M84" i="1" s="1"/>
  <c r="H83" i="1"/>
  <c r="T83" i="1"/>
  <c r="S83" i="1"/>
  <c r="D132" i="1"/>
  <c r="R124" i="1"/>
  <c r="Q124" i="1"/>
  <c r="Q125" i="1" s="1"/>
  <c r="Q129" i="1" s="1"/>
  <c r="K84" i="1"/>
  <c r="D120" i="1"/>
  <c r="E124" i="1"/>
  <c r="F121" i="1"/>
  <c r="T77" i="1"/>
  <c r="T84" i="1" s="1"/>
  <c r="P77" i="1"/>
  <c r="I83" i="1"/>
  <c r="F139" i="1" l="1"/>
  <c r="E125" i="1"/>
  <c r="S84" i="1"/>
  <c r="D121" i="1"/>
  <c r="D124" i="1" s="1"/>
  <c r="D125" i="1" s="1"/>
  <c r="D129" i="1" s="1"/>
  <c r="F124" i="1"/>
  <c r="M139" i="1"/>
  <c r="S91" i="1"/>
  <c r="G91" i="1"/>
  <c r="L139" i="1"/>
  <c r="K139" i="1"/>
  <c r="Q91" i="1"/>
  <c r="J139" i="1"/>
  <c r="I91" i="1"/>
  <c r="H91" i="1"/>
  <c r="T139" i="1"/>
  <c r="F91" i="1"/>
  <c r="S139" i="1"/>
  <c r="R139" i="1"/>
  <c r="Q139" i="1"/>
  <c r="P139" i="1"/>
  <c r="T91" i="1"/>
  <c r="N139" i="1"/>
  <c r="P91" i="1"/>
  <c r="O91" i="1"/>
  <c r="N91" i="1"/>
  <c r="E84" i="1"/>
  <c r="O139" i="1"/>
  <c r="R91" i="1"/>
  <c r="I139" i="1"/>
  <c r="H139" i="1"/>
  <c r="G139" i="1"/>
  <c r="K91" i="1"/>
  <c r="J91" i="1"/>
  <c r="M91" i="1"/>
  <c r="L91" i="1"/>
  <c r="S125" i="1"/>
  <c r="T125" i="1"/>
  <c r="R125" i="1"/>
  <c r="D140" i="1"/>
  <c r="D92" i="1"/>
  <c r="E95" i="1"/>
  <c r="Q84" i="1"/>
  <c r="P84" i="1"/>
  <c r="F125" i="1" l="1"/>
  <c r="D100" i="1"/>
  <c r="D84" i="1"/>
  <c r="S129" i="1"/>
  <c r="T129" i="1"/>
  <c r="D139" i="1"/>
  <c r="E149" i="1"/>
  <c r="D150" i="1" s="1"/>
  <c r="E135" i="1"/>
  <c r="E129" i="1"/>
  <c r="E96" i="1"/>
  <c r="D91" i="1"/>
  <c r="R129" i="1"/>
  <c r="E145" i="1" l="1"/>
  <c r="F129" i="1"/>
  <c r="E134" i="1"/>
  <c r="E136" i="1" l="1"/>
  <c r="E146" i="1"/>
  <c r="E159" i="1"/>
  <c r="D160" i="1" s="1"/>
  <c r="E155" i="1" l="1"/>
  <c r="E156" i="1" l="1"/>
  <c r="D50" i="1" l="1"/>
  <c r="D42" i="1" l="1"/>
  <c r="T131" i="1"/>
  <c r="R131" i="1"/>
  <c r="I131" i="1"/>
  <c r="L131" i="1"/>
  <c r="H131" i="1"/>
  <c r="J131" i="1"/>
  <c r="S131" i="1"/>
  <c r="Q131" i="1"/>
  <c r="K131" i="1"/>
  <c r="N131" i="1"/>
  <c r="F131" i="1"/>
  <c r="O131" i="1"/>
  <c r="M131" i="1"/>
  <c r="P131" i="1"/>
  <c r="G131" i="1"/>
  <c r="K133" i="1" l="1"/>
  <c r="K134" i="1" s="1"/>
  <c r="K135" i="1"/>
  <c r="K145" i="1" s="1"/>
  <c r="Q135" i="1"/>
  <c r="Q133" i="1"/>
  <c r="Q134" i="1" s="1"/>
  <c r="Q145" i="1"/>
  <c r="J133" i="1"/>
  <c r="J134" i="1" s="1"/>
  <c r="J135" i="1"/>
  <c r="J145" i="1" s="1"/>
  <c r="H133" i="1"/>
  <c r="H134" i="1" s="1"/>
  <c r="H135" i="1"/>
  <c r="H145" i="1"/>
  <c r="L133" i="1"/>
  <c r="L134" i="1" s="1"/>
  <c r="L135" i="1"/>
  <c r="L145" i="1" s="1"/>
  <c r="I133" i="1"/>
  <c r="I134" i="1" s="1"/>
  <c r="I135" i="1"/>
  <c r="I145" i="1" s="1"/>
  <c r="P133" i="1"/>
  <c r="P134" i="1" s="1"/>
  <c r="P135" i="1"/>
  <c r="P145" i="1" s="1"/>
  <c r="R133" i="1"/>
  <c r="R134" i="1" s="1"/>
  <c r="R135" i="1"/>
  <c r="R145" i="1" s="1"/>
  <c r="N133" i="1"/>
  <c r="N134" i="1" s="1"/>
  <c r="N135" i="1"/>
  <c r="N145" i="1" s="1"/>
  <c r="S133" i="1"/>
  <c r="S134" i="1" s="1"/>
  <c r="S135" i="1"/>
  <c r="S145" i="1" s="1"/>
  <c r="G135" i="1"/>
  <c r="G145" i="1" s="1"/>
  <c r="G133" i="1"/>
  <c r="G134" i="1" s="1"/>
  <c r="M133" i="1"/>
  <c r="M134" i="1" s="1"/>
  <c r="M135" i="1"/>
  <c r="M145" i="1" s="1"/>
  <c r="T133" i="1"/>
  <c r="T134" i="1" s="1"/>
  <c r="T135" i="1"/>
  <c r="T145" i="1" s="1"/>
  <c r="O133" i="1"/>
  <c r="O134" i="1" s="1"/>
  <c r="O135" i="1"/>
  <c r="O145" i="1" s="1"/>
  <c r="L86" i="1"/>
  <c r="L88" i="1" s="1"/>
  <c r="Q86" i="1"/>
  <c r="Q88" i="1" s="1"/>
  <c r="S86" i="1"/>
  <c r="S88" i="1" s="1"/>
  <c r="K86" i="1"/>
  <c r="K88" i="1" s="1"/>
  <c r="R86" i="1"/>
  <c r="O86" i="1"/>
  <c r="J86" i="1"/>
  <c r="J88" i="1" s="1"/>
  <c r="I86" i="1"/>
  <c r="I88" i="1" s="1"/>
  <c r="T86" i="1"/>
  <c r="T88" i="1" s="1"/>
  <c r="G86" i="1"/>
  <c r="G88" i="1" s="1"/>
  <c r="N86" i="1"/>
  <c r="M86" i="1"/>
  <c r="M88" i="1" s="1"/>
  <c r="H86" i="1"/>
  <c r="H88" i="1" s="1"/>
  <c r="P86" i="1"/>
  <c r="P88" i="1" s="1"/>
  <c r="F86" i="1"/>
  <c r="F133" i="1"/>
  <c r="D131" i="1"/>
  <c r="F135" i="1"/>
  <c r="S136" i="1" l="1"/>
  <c r="S155" i="1" s="1"/>
  <c r="S142" i="1"/>
  <c r="N88" i="1"/>
  <c r="N136" i="1"/>
  <c r="N155" i="1" s="1"/>
  <c r="N142" i="1"/>
  <c r="Q136" i="1"/>
  <c r="Q155" i="1" s="1"/>
  <c r="Q142" i="1"/>
  <c r="D133" i="1"/>
  <c r="F134" i="1"/>
  <c r="K89" i="1"/>
  <c r="K95" i="1" s="1"/>
  <c r="K93" i="1"/>
  <c r="G136" i="1"/>
  <c r="G155" i="1" s="1"/>
  <c r="G142" i="1"/>
  <c r="S89" i="1"/>
  <c r="S95" i="1" s="1"/>
  <c r="S93" i="1"/>
  <c r="L136" i="1"/>
  <c r="L155" i="1" s="1"/>
  <c r="L142" i="1"/>
  <c r="P89" i="1"/>
  <c r="P95" i="1" s="1"/>
  <c r="P93" i="1"/>
  <c r="H89" i="1"/>
  <c r="H95" i="1" s="1"/>
  <c r="M89" i="1"/>
  <c r="M95" i="1" s="1"/>
  <c r="M93" i="1"/>
  <c r="H136" i="1"/>
  <c r="H155" i="1" s="1"/>
  <c r="H142" i="1"/>
  <c r="O136" i="1"/>
  <c r="O155" i="1" s="1"/>
  <c r="O142" i="1"/>
  <c r="F88" i="1"/>
  <c r="D86" i="1"/>
  <c r="Q89" i="1"/>
  <c r="Q95" i="1" s="1"/>
  <c r="Q93" i="1"/>
  <c r="L89" i="1"/>
  <c r="L95" i="1" s="1"/>
  <c r="G89" i="1"/>
  <c r="G95" i="1" s="1"/>
  <c r="J136" i="1"/>
  <c r="J155" i="1" s="1"/>
  <c r="T89" i="1"/>
  <c r="T95" i="1" s="1"/>
  <c r="T93" i="1"/>
  <c r="T136" i="1"/>
  <c r="T155" i="1" s="1"/>
  <c r="T142" i="1"/>
  <c r="R136" i="1"/>
  <c r="R155" i="1" s="1"/>
  <c r="R142" i="1"/>
  <c r="I89" i="1"/>
  <c r="I95" i="1" s="1"/>
  <c r="I93" i="1"/>
  <c r="J89" i="1"/>
  <c r="J95" i="1" s="1"/>
  <c r="P136" i="1"/>
  <c r="P155" i="1" s="1"/>
  <c r="P142" i="1"/>
  <c r="F145" i="1"/>
  <c r="D135" i="1"/>
  <c r="O88" i="1"/>
  <c r="M136" i="1"/>
  <c r="M155" i="1" s="1"/>
  <c r="M142" i="1"/>
  <c r="R88" i="1"/>
  <c r="R89" i="1" s="1"/>
  <c r="R93" i="1" s="1"/>
  <c r="R95" i="1"/>
  <c r="I136" i="1"/>
  <c r="I155" i="1" s="1"/>
  <c r="K136" i="1"/>
  <c r="K155" i="1" s="1"/>
  <c r="K142" i="1"/>
  <c r="L93" i="1" l="1"/>
  <c r="F136" i="1"/>
  <c r="D134" i="1"/>
  <c r="F142" i="1"/>
  <c r="H93" i="1"/>
  <c r="D149" i="1"/>
  <c r="D152" i="1" s="1"/>
  <c r="D145" i="1"/>
  <c r="D151" i="1"/>
  <c r="F146" i="1"/>
  <c r="F89" i="1"/>
  <c r="D88" i="1"/>
  <c r="F93" i="1"/>
  <c r="N89" i="1"/>
  <c r="N95" i="1" s="1"/>
  <c r="N93" i="1"/>
  <c r="O89" i="1"/>
  <c r="O95" i="1" s="1"/>
  <c r="O93" i="1"/>
  <c r="J142" i="1"/>
  <c r="I142" i="1"/>
  <c r="J93" i="1"/>
  <c r="G93" i="1"/>
  <c r="D89" i="1" l="1"/>
  <c r="C95" i="1" s="1"/>
  <c r="F95" i="1"/>
  <c r="G146" i="1"/>
  <c r="H146" i="1" s="1"/>
  <c r="I146" i="1" s="1"/>
  <c r="J146" i="1" s="1"/>
  <c r="D93" i="1"/>
  <c r="D142" i="1"/>
  <c r="F155" i="1"/>
  <c r="D136" i="1"/>
  <c r="D159" i="1" l="1"/>
  <c r="D162" i="1" s="1"/>
  <c r="D161" i="1"/>
  <c r="D155" i="1"/>
  <c r="F156" i="1"/>
  <c r="D95" i="1"/>
  <c r="D101" i="1"/>
  <c r="D99" i="1"/>
  <c r="D102" i="1" s="1"/>
  <c r="F96" i="1"/>
  <c r="D148" i="1"/>
  <c r="K146" i="1"/>
  <c r="L146" i="1" l="1"/>
  <c r="M146" i="1" s="1"/>
  <c r="N146" i="1" s="1"/>
  <c r="O146" i="1" s="1"/>
  <c r="P146" i="1" s="1"/>
  <c r="Q146" i="1" s="1"/>
  <c r="R146" i="1" s="1"/>
  <c r="S146" i="1" s="1"/>
  <c r="T146" i="1" s="1"/>
  <c r="D146" i="1"/>
  <c r="G96" i="1"/>
  <c r="H96" i="1" s="1"/>
  <c r="I96" i="1" s="1"/>
  <c r="J96" i="1" s="1"/>
  <c r="G156" i="1"/>
  <c r="H156" i="1" s="1"/>
  <c r="I156" i="1" s="1"/>
  <c r="J156" i="1" s="1"/>
  <c r="K156" i="1" l="1"/>
  <c r="D158" i="1"/>
  <c r="D98" i="1"/>
  <c r="K96" i="1"/>
  <c r="L96" i="1" l="1"/>
  <c r="M96" i="1" s="1"/>
  <c r="N96" i="1" s="1"/>
  <c r="O96" i="1" s="1"/>
  <c r="P96" i="1" s="1"/>
  <c r="Q96" i="1" s="1"/>
  <c r="R96" i="1" s="1"/>
  <c r="S96" i="1" s="1"/>
  <c r="T96" i="1" s="1"/>
  <c r="D96" i="1"/>
  <c r="L156" i="1"/>
  <c r="M156" i="1" s="1"/>
  <c r="N156" i="1" s="1"/>
  <c r="O156" i="1" s="1"/>
  <c r="P156" i="1" s="1"/>
  <c r="Q156" i="1" s="1"/>
  <c r="R156" i="1" s="1"/>
  <c r="S156" i="1" s="1"/>
  <c r="T156" i="1" s="1"/>
  <c r="D15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Indah Irayani</author>
  </authors>
  <commentList>
    <comment ref="D4" authorId="0" shapeId="0" xr:uid="{8BF3C756-E45F-446D-9FD8-C2AA6088071E}">
      <text>
        <r>
          <rPr>
            <b/>
            <sz val="9"/>
            <color indexed="81"/>
            <rFont val="Tahoma"/>
            <family val="2"/>
          </rPr>
          <t>Indah Irayani:</t>
        </r>
        <r>
          <rPr>
            <sz val="9"/>
            <color indexed="81"/>
            <rFont val="Tahoma"/>
            <family val="2"/>
          </rPr>
          <t xml:space="preserve">
Siarudin and Indrajaya, 2020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</author>
  </authors>
  <commentList>
    <comment ref="D48" authorId="0" shapeId="0" xr:uid="{9576B86F-C421-4934-8A2F-4BDD2E3BB4CD}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5-15 tahun</t>
        </r>
      </text>
    </comment>
  </commentList>
</comments>
</file>

<file path=xl/sharedStrings.xml><?xml version="1.0" encoding="utf-8"?>
<sst xmlns="http://schemas.openxmlformats.org/spreadsheetml/2006/main" count="310" uniqueCount="150">
  <si>
    <t>Asumsi Finansial</t>
  </si>
  <si>
    <t>Net Cash Flow</t>
  </si>
  <si>
    <t>Rp</t>
  </si>
  <si>
    <t>Keterangan</t>
  </si>
  <si>
    <t>Satuan</t>
  </si>
  <si>
    <t>Nilai</t>
  </si>
  <si>
    <t>sumber</t>
  </si>
  <si>
    <t>Kumulatif Net Cash Flow</t>
  </si>
  <si>
    <t>Upah harian Semarang</t>
  </si>
  <si>
    <t>Rp/HOK</t>
  </si>
  <si>
    <t>link</t>
  </si>
  <si>
    <t>Biaya pengolahan lahan (land clearing)</t>
  </si>
  <si>
    <t>Rp/ha</t>
  </si>
  <si>
    <t>wawancara</t>
  </si>
  <si>
    <t>Benih kaliandra</t>
  </si>
  <si>
    <t>Rp/kg</t>
  </si>
  <si>
    <t>Market place</t>
  </si>
  <si>
    <t>Tahun ke-</t>
  </si>
  <si>
    <t>bibit Kaliandra jika disemai</t>
  </si>
  <si>
    <t>Rp/pokok</t>
  </si>
  <si>
    <t>Benih gamal</t>
  </si>
  <si>
    <t>Stek batang gamal</t>
  </si>
  <si>
    <t>Kompos</t>
  </si>
  <si>
    <t>Arang sekam</t>
  </si>
  <si>
    <t>Polibag ukuran 15 x 15</t>
  </si>
  <si>
    <t>Rp/polibag</t>
  </si>
  <si>
    <t>Transportasi</t>
  </si>
  <si>
    <t>Harga cangkul, golok, dll</t>
  </si>
  <si>
    <t>Harga chainsaw</t>
  </si>
  <si>
    <t>TK penanaman</t>
  </si>
  <si>
    <t>HOK/ha</t>
  </si>
  <si>
    <t>TK pemanenan</t>
  </si>
  <si>
    <t>Capex</t>
  </si>
  <si>
    <t>investasi pabrik</t>
  </si>
  <si>
    <t>pellet kayu 500 kg/jam (Daya 22 kW)</t>
  </si>
  <si>
    <t>30000-100,000 dolar AS. :Harga: FOB 10,000-20,000 USD.</t>
  </si>
  <si>
    <t>Stup madu</t>
  </si>
  <si>
    <t>Rp/stup</t>
  </si>
  <si>
    <t>Opex</t>
  </si>
  <si>
    <t>Rp/tahun</t>
  </si>
  <si>
    <t>2% capex</t>
  </si>
  <si>
    <t>Harga listrik</t>
  </si>
  <si>
    <t>Rp/kwh</t>
  </si>
  <si>
    <t>tenaga kerja pengolahan</t>
  </si>
  <si>
    <t>Rp/ton</t>
  </si>
  <si>
    <t>Harga Jual</t>
  </si>
  <si>
    <t>Harga jual pellet kayu ke PLN</t>
  </si>
  <si>
    <t>BB: 70 USD/ton</t>
  </si>
  <si>
    <t>NPV</t>
  </si>
  <si>
    <t>Nilai kalori biomassa pellet gamal</t>
  </si>
  <si>
    <t>kkal/kg</t>
  </si>
  <si>
    <t>IRR</t>
  </si>
  <si>
    <t>Nilai kalori biomassa pellet kaliandra</t>
  </si>
  <si>
    <t>PBP</t>
  </si>
  <si>
    <t>Harga jual madu kelulut</t>
  </si>
  <si>
    <t>data tahun 2013 inflasi 3% pertahun</t>
  </si>
  <si>
    <t>Kurs</t>
  </si>
  <si>
    <t>1 USD</t>
  </si>
  <si>
    <t>Asumsi Teknis</t>
  </si>
  <si>
    <t>No</t>
  </si>
  <si>
    <t>Jarak tanam</t>
  </si>
  <si>
    <t>m</t>
  </si>
  <si>
    <t>2 x 2</t>
  </si>
  <si>
    <t>Populasi tanaman</t>
  </si>
  <si>
    <t>pokok/ha</t>
  </si>
  <si>
    <t>Luas areal penanaman</t>
  </si>
  <si>
    <t>ha</t>
  </si>
  <si>
    <t>Umur pertanaman</t>
  </si>
  <si>
    <t>tahun</t>
  </si>
  <si>
    <t>A.1</t>
  </si>
  <si>
    <t>Gamal</t>
  </si>
  <si>
    <t>Jarak Tanam</t>
  </si>
  <si>
    <t>Frekuensi panen</t>
  </si>
  <si>
    <t>kali/tahun</t>
  </si>
  <si>
    <t>Produktivitas tanaman</t>
  </si>
  <si>
    <t xml:space="preserve"> (rata-rata)</t>
  </si>
  <si>
    <t>ton/ha</t>
  </si>
  <si>
    <t>Umur produktif tanaman</t>
  </si>
  <si>
    <t>A.2</t>
  </si>
  <si>
    <t>Kaliandra</t>
  </si>
  <si>
    <t>2x2</t>
  </si>
  <si>
    <t>pohon/ha</t>
  </si>
  <si>
    <t>Madu kelulut</t>
  </si>
  <si>
    <t>Produktivitas</t>
  </si>
  <si>
    <t>liter/tahun</t>
  </si>
  <si>
    <t>B</t>
  </si>
  <si>
    <t>Asumsi teknis pengolahan</t>
  </si>
  <si>
    <t>Rendemen</t>
  </si>
  <si>
    <t>%</t>
  </si>
  <si>
    <t>Kapasitas mesin pengolahan</t>
  </si>
  <si>
    <t>ton/jam</t>
  </si>
  <si>
    <t>Hari kerja</t>
  </si>
  <si>
    <t>hari/tahun</t>
  </si>
  <si>
    <t>Shift</t>
  </si>
  <si>
    <t>shift/hari</t>
  </si>
  <si>
    <t>Jam kerja</t>
  </si>
  <si>
    <t>jam/hari</t>
  </si>
  <si>
    <t xml:space="preserve">pajak </t>
  </si>
  <si>
    <t>LAMPIRAN PERHITUNGAN KELAYAKAN EKONOMI</t>
  </si>
  <si>
    <t>Total</t>
  </si>
  <si>
    <t>Rencana</t>
  </si>
  <si>
    <t>Ha</t>
  </si>
  <si>
    <t>Pengadaan bibit</t>
  </si>
  <si>
    <t>Penanaman</t>
  </si>
  <si>
    <t>Persiapan lahan</t>
  </si>
  <si>
    <t xml:space="preserve">TK pemeliharaan tahun </t>
  </si>
  <si>
    <t>Pemanenan</t>
  </si>
  <si>
    <t>Alat panen</t>
  </si>
  <si>
    <t>BBM</t>
  </si>
  <si>
    <t>Jumlah investasi penanaman</t>
  </si>
  <si>
    <t>Produksi</t>
  </si>
  <si>
    <t>Listrik</t>
  </si>
  <si>
    <t>TK pengolahan</t>
  </si>
  <si>
    <t>Jumlah investasi pabrik pellet</t>
  </si>
  <si>
    <t>Investasi penanaman+pabrik</t>
  </si>
  <si>
    <t>Penerimaan</t>
  </si>
  <si>
    <t>Pellet kayu gamal</t>
  </si>
  <si>
    <t>margin bruto</t>
  </si>
  <si>
    <t>pajak 1% per tahun</t>
  </si>
  <si>
    <t>Biaya tetap</t>
  </si>
  <si>
    <t>biaya penyusutan pertanaman</t>
  </si>
  <si>
    <t>biaya penyusutan pabrik</t>
  </si>
  <si>
    <t>laba rugi usaha</t>
  </si>
  <si>
    <t xml:space="preserve">Skenario 1 </t>
  </si>
  <si>
    <t>NPV Penerimaan</t>
  </si>
  <si>
    <t>NPV Biaya</t>
  </si>
  <si>
    <t>BCR</t>
  </si>
  <si>
    <t>Total investasi</t>
  </si>
  <si>
    <t>Biaya Tetap</t>
  </si>
  <si>
    <t>Biaya Variabel</t>
  </si>
  <si>
    <t>Jumlah Investasi budidaya madu</t>
  </si>
  <si>
    <t>Pellet kayu Kaliandra</t>
  </si>
  <si>
    <t>Madu</t>
  </si>
  <si>
    <t>Jumlah penerimaan</t>
  </si>
  <si>
    <t>Pajak tanpa madu</t>
  </si>
  <si>
    <t>pajak dengan madu</t>
  </si>
  <si>
    <t>biaya pebtusutan budidaya madu</t>
  </si>
  <si>
    <t>Skenario 2 tanpa madu</t>
  </si>
  <si>
    <t>Skenario 3 + madu</t>
  </si>
  <si>
    <t>NPV biaya</t>
  </si>
  <si>
    <t>Ilmiah</t>
  </si>
  <si>
    <t>Pohon per Ha</t>
  </si>
  <si>
    <t>Masa Janis
(gr/cm3)</t>
  </si>
  <si>
    <t>Produktifiats 
(kg/pohon)</t>
  </si>
  <si>
    <t>Potensi Biomassa (kg/ha)</t>
  </si>
  <si>
    <t>Eksisting</t>
  </si>
  <si>
    <t>Jarak Tanam 2x2m</t>
  </si>
  <si>
    <t>Gliricidia sepium</t>
  </si>
  <si>
    <t>Calliandra calothyrsus</t>
  </si>
  <si>
    <t>D sapihan
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</si>
</sst>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Rp&quot;#,##0.00;[Red]\-&quot;Rp&quot;#,##0.00"/>
    <numFmt numFmtId="44" formatCode="_-&quot;Rp&quot;* #,##0.00_-;\-&quot;Rp&quot;* #,##0.00_-;_-&quot;Rp&quot;* &quot;-&quot;??_-;_-@_-"/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#,##0.0"/>
    <numFmt numFmtId="168" formatCode="&quot;Rp&quot;#,##0"/>
    <numFmt numFmtId="169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3" fillId="2" borderId="0" xfId="0" applyFont="1" applyFill="1"/>
    <xf numFmtId="4" fontId="3" fillId="0" borderId="0" xfId="0" applyNumberFormat="1" applyFont="1"/>
    <xf numFmtId="0" fontId="3" fillId="0" borderId="0" xfId="3" applyFont="1"/>
    <xf numFmtId="0" fontId="3" fillId="0" borderId="0" xfId="3" applyFont="1" applyFill="1" applyBorder="1"/>
    <xf numFmtId="0" fontId="3" fillId="0" borderId="0" xfId="0" applyFont="1" applyAlignment="1">
      <alignment horizontal="left"/>
    </xf>
    <xf numFmtId="8" fontId="3" fillId="0" borderId="0" xfId="0" applyNumberFormat="1" applyFont="1"/>
    <xf numFmtId="10" fontId="3" fillId="0" borderId="0" xfId="0" applyNumberFormat="1" applyFont="1"/>
    <xf numFmtId="44" fontId="3" fillId="0" borderId="0" xfId="0" applyNumberFormat="1" applyFont="1"/>
    <xf numFmtId="2" fontId="3" fillId="0" borderId="0" xfId="2" applyNumberFormat="1" applyFont="1"/>
    <xf numFmtId="0" fontId="3" fillId="3" borderId="0" xfId="0" applyFont="1" applyFill="1"/>
    <xf numFmtId="164" fontId="3" fillId="0" borderId="0" xfId="1" applyNumberFormat="1" applyFont="1" applyFill="1"/>
    <xf numFmtId="9" fontId="3" fillId="0" borderId="0" xfId="2" applyFont="1" applyFill="1"/>
    <xf numFmtId="0" fontId="3" fillId="4" borderId="0" xfId="0" applyFont="1" applyFill="1"/>
    <xf numFmtId="164" fontId="3" fillId="0" borderId="0" xfId="1" applyNumberFormat="1" applyFont="1"/>
    <xf numFmtId="165" fontId="3" fillId="0" borderId="0" xfId="1" applyNumberFormat="1" applyFont="1"/>
    <xf numFmtId="0" fontId="3" fillId="0" borderId="0" xfId="0" applyFont="1" applyAlignment="1">
      <alignment horizontal="right"/>
    </xf>
    <xf numFmtId="165" fontId="3" fillId="0" borderId="0" xfId="1" applyNumberFormat="1" applyFont="1" applyFill="1"/>
    <xf numFmtId="164" fontId="3" fillId="0" borderId="0" xfId="0" applyNumberFormat="1" applyFont="1"/>
    <xf numFmtId="43" fontId="3" fillId="0" borderId="0" xfId="0" applyNumberFormat="1" applyFont="1"/>
    <xf numFmtId="0" fontId="3" fillId="5" borderId="0" xfId="0" applyFont="1" applyFill="1"/>
    <xf numFmtId="166" fontId="3" fillId="0" borderId="0" xfId="1" applyNumberFormat="1" applyFont="1"/>
    <xf numFmtId="9" fontId="3" fillId="0" borderId="0" xfId="0" applyNumberFormat="1" applyFont="1"/>
    <xf numFmtId="0" fontId="3" fillId="3" borderId="0" xfId="0" applyFont="1" applyFill="1" applyAlignment="1">
      <alignment horizontal="center" vertical="top" wrapText="1"/>
    </xf>
    <xf numFmtId="1" fontId="3" fillId="4" borderId="0" xfId="0" applyNumberFormat="1" applyFont="1" applyFill="1" applyAlignment="1">
      <alignment horizontal="center" vertical="top" wrapText="1"/>
    </xf>
    <xf numFmtId="2" fontId="3" fillId="0" borderId="0" xfId="1" applyNumberFormat="1" applyFont="1"/>
    <xf numFmtId="167" fontId="3" fillId="0" borderId="0" xfId="1" applyNumberFormat="1" applyFont="1" applyFill="1"/>
    <xf numFmtId="167" fontId="3" fillId="0" borderId="0" xfId="0" applyNumberFormat="1" applyFont="1"/>
    <xf numFmtId="0" fontId="4" fillId="0" borderId="0" xfId="0" applyFont="1"/>
    <xf numFmtId="0" fontId="4" fillId="2" borderId="0" xfId="0" applyFont="1" applyFill="1" applyAlignment="1">
      <alignment horizontal="left"/>
    </xf>
    <xf numFmtId="2" fontId="4" fillId="2" borderId="0" xfId="1" applyNumberFormat="1" applyFont="1" applyFill="1"/>
    <xf numFmtId="167" fontId="3" fillId="2" borderId="0" xfId="1" applyNumberFormat="1" applyFont="1" applyFill="1"/>
    <xf numFmtId="167" fontId="4" fillId="2" borderId="0" xfId="1" applyNumberFormat="1" applyFont="1" applyFill="1"/>
    <xf numFmtId="2" fontId="3" fillId="2" borderId="0" xfId="1" applyNumberFormat="1" applyFont="1" applyFill="1"/>
    <xf numFmtId="0" fontId="3" fillId="6" borderId="0" xfId="0" applyFont="1" applyFill="1" applyAlignment="1">
      <alignment horizontal="left"/>
    </xf>
    <xf numFmtId="2" fontId="3" fillId="6" borderId="0" xfId="1" applyNumberFormat="1" applyFont="1" applyFill="1"/>
    <xf numFmtId="167" fontId="3" fillId="6" borderId="0" xfId="1" applyNumberFormat="1" applyFont="1" applyFill="1"/>
    <xf numFmtId="167" fontId="3" fillId="6" borderId="0" xfId="0" applyNumberFormat="1" applyFont="1" applyFill="1"/>
    <xf numFmtId="4" fontId="3" fillId="0" borderId="0" xfId="1" applyNumberFormat="1" applyFont="1" applyFill="1"/>
    <xf numFmtId="168" fontId="3" fillId="0" borderId="0" xfId="0" applyNumberFormat="1" applyFont="1"/>
    <xf numFmtId="169" fontId="3" fillId="0" borderId="0" xfId="2" applyNumberFormat="1" applyFont="1"/>
    <xf numFmtId="9" fontId="3" fillId="0" borderId="0" xfId="2" applyFont="1"/>
    <xf numFmtId="0" fontId="3" fillId="2" borderId="0" xfId="0" applyFont="1" applyFill="1" applyAlignment="1">
      <alignment horizontal="left"/>
    </xf>
    <xf numFmtId="2" fontId="3" fillId="0" borderId="0" xfId="1" applyNumberFormat="1" applyFont="1" applyFill="1"/>
    <xf numFmtId="3" fontId="3" fillId="0" borderId="0" xfId="0" applyNumberFormat="1" applyFont="1"/>
    <xf numFmtId="3" fontId="3" fillId="0" borderId="0" xfId="1" applyNumberFormat="1" applyFont="1" applyFill="1"/>
    <xf numFmtId="0" fontId="3" fillId="6" borderId="0" xfId="0" applyFont="1" applyFill="1"/>
    <xf numFmtId="0" fontId="3" fillId="3" borderId="0" xfId="0" applyFont="1" applyFill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7" borderId="2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4" fontId="0" fillId="0" borderId="1" xfId="0" applyNumberFormat="1" applyBorder="1"/>
    <xf numFmtId="4" fontId="7" fillId="0" borderId="1" xfId="0" applyNumberFormat="1" applyFont="1" applyBorder="1"/>
    <xf numFmtId="4" fontId="2" fillId="0" borderId="1" xfId="3" applyNumberFormat="1" applyFill="1" applyBorder="1"/>
    <xf numFmtId="4" fontId="0" fillId="7" borderId="1" xfId="0" applyNumberFormat="1" applyFill="1" applyBorder="1"/>
    <xf numFmtId="0" fontId="0" fillId="0" borderId="1" xfId="0" applyBorder="1" applyAlignment="1">
      <alignment horizontal="centerContinuous"/>
    </xf>
    <xf numFmtId="4" fontId="0" fillId="0" borderId="1" xfId="0" applyNumberFormat="1" applyBorder="1" applyAlignment="1">
      <alignment horizontal="centerContinuous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ndah\Documents\UNDIP%20SMT%202\Paper%201\Analisis%20Ekonomi-01.xlsx" TargetMode="External"/><Relationship Id="rId1" Type="http://schemas.openxmlformats.org/officeDocument/2006/relationships/externalLinkPath" Target="/Users/indah/Documents/UNDIP%20SMT%202/Paper%201/Analisis%20Ekonomi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2"/>
      <sheetName val="Parameter"/>
      <sheetName val="Analisis"/>
      <sheetName val="Market"/>
      <sheetName val="Finasial"/>
      <sheetName val="Jarak tanam"/>
      <sheetName val="PP 40"/>
      <sheetName val="Hasil AHP"/>
      <sheetName val="Overlay Maps"/>
      <sheetName val="Sheet3"/>
      <sheetName val="Sheet4"/>
      <sheetName val="Overlay Maps2"/>
      <sheetName val="CH"/>
      <sheetName val="SLOPE"/>
      <sheetName val="uji BB"/>
      <sheetName val="ANVEG"/>
      <sheetName val="Sheet5"/>
      <sheetName val="Data"/>
      <sheetName val="Sheet1"/>
    </sheetNames>
    <sheetDataSet>
      <sheetData sheetId="0"/>
      <sheetData sheetId="1">
        <row r="16">
          <cell r="I16">
            <v>26959.735388608835</v>
          </cell>
        </row>
        <row r="22">
          <cell r="G22">
            <v>6.4478666654201362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../../../AppData/Roaming/Microsoft/Excel/kaliandra-DBH.pdf" TargetMode="External"/><Relationship Id="rId1" Type="http://schemas.openxmlformats.org/officeDocument/2006/relationships/hyperlink" Target="https://www.sciencedirect.com/science/article/pii/S2666719322000966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hopee.co.id/Nada-fast-benih-jaya-Benih-Gliricidia-sepium-1-Kg-Bibit-biji-gamal-super-benih-pakan-ternak-i.89769063.19437702834?extraParams=%7B%22display_model_id%22%3A181925352115%2C%22model_selection_logic%22%3A3%7D&amp;sp_atk=a6024d6c-dddd-40af-990b-79c8a352e190&amp;xptdk=a6024d6c-dddd-40af-990b-79c8a352e190" TargetMode="External"/><Relationship Id="rId7" Type="http://schemas.openxmlformats.org/officeDocument/2006/relationships/hyperlink" Target="https://www.cn-pellet.com/id/faq/cost-to-build-small-500kgh-wood-pellet-plant.html?srsltid=AfmBOoqaM6NVzXOTADvdqap6qj8OCm-y-bWykdUu2wsgZASLzPpfxJMJ" TargetMode="External"/><Relationship Id="rId2" Type="http://schemas.openxmlformats.org/officeDocument/2006/relationships/hyperlink" Target="https://shopee.co.id/Benih-Kaliandra-Merah-1-Kg-Untuk-Madu-Dan-Pakan-i.371460180.18433922153?extraParams=%7B%22display_model_id%22%3A201743190706%2C%22model_selection_logic%22%3A3%7D&amp;sp_atk=a371d965-8b02-4326-8be8-82f3cc81c7b3&amp;xptdk=a371d965-8b02-4326-8be8-82f3cc81c7b3" TargetMode="External"/><Relationship Id="rId1" Type="http://schemas.openxmlformats.org/officeDocument/2006/relationships/hyperlink" Target="https://www.bps.go.id/id/statistics-table/2/MTE3MiMy/upah-rata---rata-per-jam-pekerja-menurut-provinsi.html" TargetMode="External"/><Relationship Id="rId6" Type="http://schemas.openxmlformats.org/officeDocument/2006/relationships/hyperlink" Target="https://shopee.co.id/Media-Tanam-Sekam-Bakar-Organik-25kg-Steril-i.1247524292.43567207371?extraParams=%7B%22display_model_id%22%3A301419397329%2C%22model_selection_logic%22%3A3%7D&amp;sp_atk=14ac8a48-63cf-46f8-b676-58c44cf2f785&amp;xptdk=14ac8a48-63cf-46f8-b676-58c44cf2f785" TargetMode="External"/><Relationship Id="rId5" Type="http://schemas.openxmlformats.org/officeDocument/2006/relationships/hyperlink" Target="https://shopee.co.id/Media-Tanam-Sekam-Bakar-Organik-25kg-Steril-i.1247524292.43567207371?extraParams=%7B%22display_model_id%22%3A301419397329%2C%22model_selection_logic%22%3A3%7D&amp;sp_atk=14ac8a48-63cf-46f8-b676-58c44cf2f785&amp;xptdk=14ac8a48-63cf-46f8-b676-58c44cf2f785" TargetMode="External"/><Relationship Id="rId10" Type="http://schemas.openxmlformats.org/officeDocument/2006/relationships/comments" Target="../comments2.xml"/><Relationship Id="rId4" Type="http://schemas.openxmlformats.org/officeDocument/2006/relationships/hyperlink" Target="https://shopee.co.id/PUPUK-ORGANIK-KOHE-KAMBING-(KOMPOS)-TRUBUS-GREEN-i.270315082.43168478818?extraParams=%7B%22display_model_id%22%3A243882440212%2C%22model_selection_logic%22%3A2%7D&amp;sp_atk=f58097fd-c806-4a39-b9cb-a732609460e5&amp;xptdk=f58097fd-c806-4a39-b9cb-a732609460e5" TargetMode="External"/><Relationship Id="rId9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5EC8C-CC56-4250-AC2E-38EFE6FE05A1}">
  <dimension ref="A1:H5"/>
  <sheetViews>
    <sheetView workbookViewId="0">
      <selection activeCell="E12" sqref="E12"/>
    </sheetView>
  </sheetViews>
  <sheetFormatPr defaultRowHeight="14.5" x14ac:dyDescent="0.35"/>
  <cols>
    <col min="1" max="1" width="19.26953125" bestFit="1" customWidth="1"/>
    <col min="5" max="5" width="14.26953125" customWidth="1"/>
    <col min="6" max="6" width="13.7265625" customWidth="1"/>
    <col min="7" max="7" width="15.54296875" customWidth="1"/>
    <col min="8" max="8" width="20.453125" customWidth="1"/>
  </cols>
  <sheetData>
    <row r="1" spans="1:8" x14ac:dyDescent="0.35">
      <c r="A1" s="49" t="s">
        <v>140</v>
      </c>
      <c r="B1" s="50" t="s">
        <v>141</v>
      </c>
      <c r="C1" s="51" t="s">
        <v>149</v>
      </c>
      <c r="D1" s="52" t="s">
        <v>142</v>
      </c>
      <c r="E1" s="52" t="s">
        <v>143</v>
      </c>
      <c r="F1" s="53" t="s">
        <v>144</v>
      </c>
      <c r="G1" s="53"/>
      <c r="H1" s="54" t="s">
        <v>99</v>
      </c>
    </row>
    <row r="2" spans="1:8" ht="43.5" x14ac:dyDescent="0.35">
      <c r="A2" s="49"/>
      <c r="B2" s="50"/>
      <c r="C2" s="51"/>
      <c r="D2" s="52"/>
      <c r="E2" s="52"/>
      <c r="F2" s="55" t="s">
        <v>145</v>
      </c>
      <c r="G2" s="56" t="s">
        <v>146</v>
      </c>
      <c r="H2" s="57"/>
    </row>
    <row r="3" spans="1:8" x14ac:dyDescent="0.35">
      <c r="A3" s="58" t="s">
        <v>147</v>
      </c>
      <c r="B3" s="59">
        <v>176.47058823529412</v>
      </c>
      <c r="C3" s="60">
        <v>6.74444444444444</v>
      </c>
      <c r="D3" s="61">
        <v>0.66</v>
      </c>
      <c r="E3" s="59">
        <f>0.11*D3*((C3)^(2+0.62))</f>
        <v>10.783894155443523</v>
      </c>
      <c r="F3" s="59">
        <v>1903.0401450782706</v>
      </c>
      <c r="G3" s="59">
        <v>26959.735388608835</v>
      </c>
      <c r="H3" s="62">
        <v>189637.95045704968</v>
      </c>
    </row>
    <row r="4" spans="1:8" x14ac:dyDescent="0.35">
      <c r="A4" s="58" t="s">
        <v>148</v>
      </c>
      <c r="B4" s="59">
        <v>1</v>
      </c>
      <c r="C4" s="60">
        <v>5.2</v>
      </c>
      <c r="D4" s="61">
        <v>0.78</v>
      </c>
      <c r="E4" s="59">
        <f>0.11*D4*((C4)^(2+0.62))</f>
        <v>6.4478666654201362</v>
      </c>
      <c r="F4" s="59">
        <v>6.4478666654201362</v>
      </c>
      <c r="G4" s="59">
        <v>16119.666663550341</v>
      </c>
      <c r="H4" s="62">
        <v>642.52991320911656</v>
      </c>
    </row>
    <row r="5" spans="1:8" x14ac:dyDescent="0.35">
      <c r="A5" s="63"/>
      <c r="B5" s="64"/>
      <c r="C5" s="64"/>
      <c r="D5" s="64"/>
      <c r="E5" s="64"/>
      <c r="F5" s="59">
        <v>457.45922147662884</v>
      </c>
      <c r="G5" s="59">
        <v>24820.923848664916</v>
      </c>
      <c r="H5" s="62">
        <v>364686.49136116856</v>
      </c>
    </row>
  </sheetData>
  <mergeCells count="7">
    <mergeCell ref="H1:H2"/>
    <mergeCell ref="A1:A2"/>
    <mergeCell ref="B1:B2"/>
    <mergeCell ref="C1:C2"/>
    <mergeCell ref="D1:D2"/>
    <mergeCell ref="E1:E2"/>
    <mergeCell ref="F1:G1"/>
  </mergeCells>
  <hyperlinks>
    <hyperlink ref="D3" r:id="rId1" display="https://www.sciencedirect.com/science/article/pii/S2666719322000966" xr:uid="{B800C9DA-D58D-401F-8297-28434CF916CE}"/>
    <hyperlink ref="D4" r:id="rId2" display="C:\Users\indah\Documents\UNDIP SMT 2\Paper 1\kaliandra-DBH.pdf" xr:uid="{AE7A3FF5-2B7A-42AE-AC03-9B15D89DA53A}"/>
  </hyperlinks>
  <pageMargins left="0.7" right="0.7" top="0.75" bottom="0.75" header="0.3" footer="0.3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E8161-26C2-4C44-B5A3-9067222EDA49}">
  <dimension ref="A1:AM194"/>
  <sheetViews>
    <sheetView tabSelected="1" zoomScale="70" zoomScaleNormal="70" workbookViewId="0">
      <selection activeCell="H13" sqref="H13"/>
    </sheetView>
  </sheetViews>
  <sheetFormatPr defaultRowHeight="15.5" x14ac:dyDescent="0.35"/>
  <cols>
    <col min="1" max="1" width="4.26953125" style="1" customWidth="1"/>
    <col min="2" max="2" width="29.7265625" style="1" bestFit="1" customWidth="1"/>
    <col min="3" max="3" width="14.7265625" style="1" bestFit="1" customWidth="1"/>
    <col min="4" max="4" width="19.453125" style="1" bestFit="1" customWidth="1"/>
    <col min="5" max="5" width="29.26953125" style="1" customWidth="1"/>
    <col min="6" max="7" width="18.81640625" style="1" bestFit="1" customWidth="1"/>
    <col min="8" max="9" width="16.81640625" style="1" bestFit="1" customWidth="1"/>
    <col min="10" max="10" width="16.1796875" style="1" bestFit="1" customWidth="1"/>
    <col min="11" max="20" width="18.1796875" style="1" bestFit="1" customWidth="1"/>
    <col min="21" max="21" width="19.90625" style="1" customWidth="1"/>
    <col min="22" max="22" width="13.36328125" style="1" customWidth="1"/>
    <col min="23" max="23" width="21" style="1" bestFit="1" customWidth="1"/>
    <col min="24" max="24" width="21.453125" style="1" bestFit="1" customWidth="1"/>
    <col min="25" max="25" width="14.90625" style="1" bestFit="1" customWidth="1"/>
    <col min="26" max="31" width="15.54296875" style="1" bestFit="1" customWidth="1"/>
    <col min="32" max="35" width="16.36328125" style="1" bestFit="1" customWidth="1"/>
    <col min="36" max="36" width="14.81640625" style="1" bestFit="1" customWidth="1"/>
    <col min="37" max="39" width="14.1796875" style="1" bestFit="1" customWidth="1"/>
    <col min="40" max="16384" width="8.7265625" style="1"/>
  </cols>
  <sheetData>
    <row r="1" spans="1:39" x14ac:dyDescent="0.35">
      <c r="A1" s="1" t="s">
        <v>0</v>
      </c>
      <c r="U1" s="1" t="s">
        <v>1</v>
      </c>
      <c r="V1" s="1" t="s">
        <v>2</v>
      </c>
      <c r="W1" s="1">
        <v>-500367172.93675876</v>
      </c>
      <c r="X1" s="1">
        <v>-1549764608.2762046</v>
      </c>
      <c r="Y1" s="1">
        <v>-212620719.59064043</v>
      </c>
      <c r="Z1" s="1">
        <v>140224239.43667626</v>
      </c>
      <c r="AA1" s="1">
        <v>140224239.43667626</v>
      </c>
      <c r="AB1" s="1">
        <v>140224239.43667626</v>
      </c>
      <c r="AC1" s="1">
        <v>140224239.43667626</v>
      </c>
      <c r="AD1" s="1">
        <v>140224239.43667626</v>
      </c>
      <c r="AE1" s="1">
        <v>140224239.43667626</v>
      </c>
      <c r="AF1" s="1">
        <v>140224239.43667626</v>
      </c>
      <c r="AG1" s="1">
        <v>140224239.43667626</v>
      </c>
      <c r="AH1" s="1">
        <v>140224239.43667626</v>
      </c>
      <c r="AI1" s="1">
        <v>140224239.43667626</v>
      </c>
      <c r="AJ1" s="1">
        <v>140224239.43667626</v>
      </c>
      <c r="AK1" s="1">
        <v>140224239.43667626</v>
      </c>
      <c r="AL1" s="1">
        <v>140224239.43667626</v>
      </c>
      <c r="AM1" s="1">
        <v>140224239.43667626</v>
      </c>
    </row>
    <row r="2" spans="1:39" x14ac:dyDescent="0.35">
      <c r="A2" s="2"/>
      <c r="B2" s="2" t="s">
        <v>3</v>
      </c>
      <c r="C2" s="2" t="s">
        <v>4</v>
      </c>
      <c r="D2" s="2" t="s">
        <v>5</v>
      </c>
      <c r="E2" s="2" t="s">
        <v>6</v>
      </c>
      <c r="U2" s="1" t="s">
        <v>7</v>
      </c>
      <c r="V2" s="1" t="s">
        <v>2</v>
      </c>
      <c r="W2" s="1">
        <v>-12863527112.294226</v>
      </c>
      <c r="X2" s="1">
        <v>-1549764608.2762046</v>
      </c>
      <c r="Y2" s="1">
        <v>-1762385327.8668451</v>
      </c>
      <c r="Z2" s="1">
        <v>-1622161088.4301689</v>
      </c>
      <c r="AA2" s="1">
        <v>-1481936848.9934926</v>
      </c>
      <c r="AB2" s="1">
        <v>-1341712609.5568163</v>
      </c>
      <c r="AC2" s="1">
        <v>-1201488370.1201401</v>
      </c>
      <c r="AD2" s="1">
        <v>-1061264130.6834638</v>
      </c>
      <c r="AE2" s="1">
        <v>-921039891.24678755</v>
      </c>
      <c r="AF2" s="1">
        <v>-780815651.81011128</v>
      </c>
      <c r="AG2" s="1">
        <v>-640591412.37343502</v>
      </c>
      <c r="AH2" s="1">
        <v>-500367172.93675876</v>
      </c>
      <c r="AI2" s="1">
        <v>-360142933.50008249</v>
      </c>
      <c r="AJ2" s="1">
        <v>-219918694.06340623</v>
      </c>
      <c r="AK2" s="1">
        <v>-79694454.626729965</v>
      </c>
      <c r="AL2" s="1">
        <v>60529784.809946299</v>
      </c>
      <c r="AM2" s="1">
        <v>200754024.24662256</v>
      </c>
    </row>
    <row r="3" spans="1:39" x14ac:dyDescent="0.35">
      <c r="A3" s="1">
        <v>1</v>
      </c>
      <c r="B3" s="1" t="s">
        <v>8</v>
      </c>
      <c r="C3" s="1" t="s">
        <v>9</v>
      </c>
      <c r="D3" s="3">
        <f>13000*10</f>
        <v>130000</v>
      </c>
      <c r="E3" s="4" t="s">
        <v>10</v>
      </c>
    </row>
    <row r="4" spans="1:39" x14ac:dyDescent="0.35">
      <c r="A4" s="1">
        <v>2</v>
      </c>
      <c r="B4" s="1" t="s">
        <v>11</v>
      </c>
      <c r="C4" s="1" t="s">
        <v>12</v>
      </c>
      <c r="D4" s="3">
        <v>4500000</v>
      </c>
      <c r="E4" s="1" t="s">
        <v>13</v>
      </c>
    </row>
    <row r="5" spans="1:39" x14ac:dyDescent="0.35">
      <c r="A5" s="1">
        <v>3</v>
      </c>
      <c r="B5" s="1" t="s">
        <v>14</v>
      </c>
      <c r="C5" s="1" t="s">
        <v>15</v>
      </c>
      <c r="D5" s="3">
        <v>213000</v>
      </c>
      <c r="E5" s="4" t="s">
        <v>16</v>
      </c>
      <c r="V5" s="1" t="s">
        <v>17</v>
      </c>
      <c r="W5" s="1" t="s">
        <v>1</v>
      </c>
      <c r="X5" s="1" t="s">
        <v>7</v>
      </c>
    </row>
    <row r="6" spans="1:39" x14ac:dyDescent="0.35">
      <c r="B6" s="1" t="s">
        <v>18</v>
      </c>
      <c r="C6" s="1" t="s">
        <v>19</v>
      </c>
      <c r="D6" s="3">
        <v>2000</v>
      </c>
      <c r="E6" s="4"/>
      <c r="W6" s="1" t="s">
        <v>2</v>
      </c>
      <c r="X6" s="1" t="s">
        <v>2</v>
      </c>
    </row>
    <row r="7" spans="1:39" x14ac:dyDescent="0.35">
      <c r="A7" s="1">
        <v>4</v>
      </c>
      <c r="B7" s="1" t="s">
        <v>20</v>
      </c>
      <c r="C7" s="1" t="s">
        <v>15</v>
      </c>
      <c r="D7" s="3">
        <v>220000</v>
      </c>
      <c r="E7" s="5" t="s">
        <v>16</v>
      </c>
    </row>
    <row r="8" spans="1:39" x14ac:dyDescent="0.35">
      <c r="B8" s="1" t="s">
        <v>21</v>
      </c>
      <c r="C8" s="1" t="s">
        <v>19</v>
      </c>
      <c r="D8" s="3">
        <v>2000</v>
      </c>
      <c r="E8" s="1" t="s">
        <v>16</v>
      </c>
      <c r="V8" s="1">
        <v>0</v>
      </c>
      <c r="W8" s="1">
        <v>-1549764608.2762046</v>
      </c>
      <c r="X8" s="1">
        <v>-1549764608.2762046</v>
      </c>
    </row>
    <row r="9" spans="1:39" x14ac:dyDescent="0.35">
      <c r="A9" s="1">
        <v>5</v>
      </c>
      <c r="B9" s="1" t="s">
        <v>22</v>
      </c>
      <c r="C9" s="1" t="s">
        <v>15</v>
      </c>
      <c r="D9" s="3">
        <f>30000/12</f>
        <v>2500</v>
      </c>
      <c r="E9" s="4" t="s">
        <v>16</v>
      </c>
      <c r="V9" s="1">
        <v>1</v>
      </c>
      <c r="W9" s="1">
        <v>-212620719.59064043</v>
      </c>
      <c r="X9" s="1">
        <v>-1762385327.8668451</v>
      </c>
    </row>
    <row r="10" spans="1:39" x14ac:dyDescent="0.35">
      <c r="A10" s="1">
        <v>6</v>
      </c>
      <c r="B10" s="1" t="s">
        <v>23</v>
      </c>
      <c r="C10" s="1" t="s">
        <v>15</v>
      </c>
      <c r="D10" s="3">
        <f>5000/5</f>
        <v>1000</v>
      </c>
      <c r="E10" s="4" t="s">
        <v>16</v>
      </c>
      <c r="V10" s="1">
        <v>2</v>
      </c>
      <c r="W10" s="1">
        <v>140224239.43667626</v>
      </c>
      <c r="X10" s="1">
        <v>-1622161088.4301689</v>
      </c>
    </row>
    <row r="11" spans="1:39" x14ac:dyDescent="0.35">
      <c r="A11" s="1">
        <v>8</v>
      </c>
      <c r="B11" s="1" t="s">
        <v>24</v>
      </c>
      <c r="C11" s="1" t="s">
        <v>25</v>
      </c>
      <c r="D11" s="3">
        <f>27900/360</f>
        <v>77.5</v>
      </c>
      <c r="E11" s="4" t="s">
        <v>16</v>
      </c>
      <c r="V11" s="1">
        <v>3</v>
      </c>
      <c r="W11" s="1">
        <v>140224239.43667626</v>
      </c>
      <c r="X11" s="1">
        <v>-1481936848.9934926</v>
      </c>
    </row>
    <row r="12" spans="1:39" x14ac:dyDescent="0.35">
      <c r="A12" s="1">
        <v>9</v>
      </c>
      <c r="B12" s="1" t="s">
        <v>26</v>
      </c>
      <c r="C12" s="1" t="s">
        <v>15</v>
      </c>
      <c r="D12" s="3">
        <v>100</v>
      </c>
      <c r="V12" s="1">
        <v>4</v>
      </c>
      <c r="W12" s="1">
        <v>140224239.43667626</v>
      </c>
      <c r="X12" s="1">
        <v>-1341712609.5568163</v>
      </c>
    </row>
    <row r="13" spans="1:39" x14ac:dyDescent="0.35">
      <c r="A13" s="1">
        <v>10</v>
      </c>
      <c r="B13" s="1" t="s">
        <v>27</v>
      </c>
      <c r="C13" s="1" t="s">
        <v>2</v>
      </c>
      <c r="D13" s="3">
        <v>500000</v>
      </c>
      <c r="V13" s="1">
        <v>5</v>
      </c>
      <c r="W13" s="1">
        <v>140224239.43667626</v>
      </c>
      <c r="X13" s="1">
        <v>-1201488370.1201401</v>
      </c>
    </row>
    <row r="14" spans="1:39" x14ac:dyDescent="0.35">
      <c r="B14" s="1" t="s">
        <v>28</v>
      </c>
      <c r="C14" s="1" t="s">
        <v>2</v>
      </c>
      <c r="D14" s="3">
        <v>2500000</v>
      </c>
      <c r="E14" s="1" t="s">
        <v>16</v>
      </c>
      <c r="V14" s="1">
        <v>6</v>
      </c>
      <c r="W14" s="1">
        <v>140224239.43667626</v>
      </c>
      <c r="X14" s="1">
        <v>-1061264130.6834638</v>
      </c>
    </row>
    <row r="15" spans="1:39" x14ac:dyDescent="0.35">
      <c r="B15" s="1" t="s">
        <v>29</v>
      </c>
      <c r="C15" s="1" t="s">
        <v>30</v>
      </c>
      <c r="D15" s="3">
        <v>10</v>
      </c>
      <c r="V15" s="1">
        <v>7</v>
      </c>
      <c r="W15" s="1">
        <v>140224239.43667626</v>
      </c>
      <c r="X15" s="1">
        <v>-921039891.24678755</v>
      </c>
    </row>
    <row r="16" spans="1:39" x14ac:dyDescent="0.35">
      <c r="B16" s="1" t="s">
        <v>31</v>
      </c>
      <c r="C16" s="1" t="s">
        <v>30</v>
      </c>
      <c r="D16" s="3">
        <v>15</v>
      </c>
      <c r="V16" s="1">
        <v>8</v>
      </c>
      <c r="W16" s="1">
        <v>140224239.43667626</v>
      </c>
      <c r="X16" s="1">
        <v>-780815651.81011128</v>
      </c>
    </row>
    <row r="17" spans="1:24" x14ac:dyDescent="0.35">
      <c r="A17" s="1">
        <v>11</v>
      </c>
      <c r="B17" s="1" t="s">
        <v>32</v>
      </c>
      <c r="D17" s="3"/>
      <c r="E17" s="4" t="s">
        <v>33</v>
      </c>
      <c r="V17" s="1">
        <v>9</v>
      </c>
      <c r="W17" s="1">
        <v>140224239.43667626</v>
      </c>
      <c r="X17" s="1">
        <v>-640591412.37343502</v>
      </c>
    </row>
    <row r="18" spans="1:24" x14ac:dyDescent="0.35">
      <c r="B18" s="1" t="s">
        <v>34</v>
      </c>
      <c r="D18" s="3">
        <f>AVERAGE(30000,100000)*D29</f>
        <v>1082900000</v>
      </c>
      <c r="E18" s="1" t="s">
        <v>35</v>
      </c>
      <c r="V18" s="1">
        <v>10</v>
      </c>
      <c r="W18" s="1">
        <v>140224239.43667626</v>
      </c>
      <c r="X18" s="1">
        <v>-500367172.93675876</v>
      </c>
    </row>
    <row r="19" spans="1:24" x14ac:dyDescent="0.35">
      <c r="B19" s="1" t="s">
        <v>36</v>
      </c>
      <c r="C19" s="1" t="s">
        <v>37</v>
      </c>
      <c r="D19" s="3">
        <v>2000000</v>
      </c>
      <c r="E19" s="6"/>
      <c r="V19" s="1">
        <v>12</v>
      </c>
      <c r="W19" s="1">
        <v>140224239.43667626</v>
      </c>
      <c r="X19" s="1">
        <v>-219918694.06340623</v>
      </c>
    </row>
    <row r="20" spans="1:24" x14ac:dyDescent="0.35">
      <c r="A20" s="1">
        <v>12</v>
      </c>
      <c r="B20" s="1" t="s">
        <v>38</v>
      </c>
      <c r="C20" s="1" t="s">
        <v>39</v>
      </c>
      <c r="D20" s="3" t="s">
        <v>40</v>
      </c>
      <c r="V20" s="1">
        <v>13</v>
      </c>
      <c r="W20" s="1">
        <v>140224239.43667626</v>
      </c>
      <c r="X20" s="1">
        <v>-79694454.626729965</v>
      </c>
    </row>
    <row r="21" spans="1:24" x14ac:dyDescent="0.35">
      <c r="A21" s="1">
        <v>12</v>
      </c>
      <c r="B21" s="1" t="s">
        <v>41</v>
      </c>
      <c r="C21" s="1" t="s">
        <v>42</v>
      </c>
      <c r="D21" s="3">
        <v>1114.74</v>
      </c>
      <c r="V21" s="1">
        <v>14</v>
      </c>
      <c r="W21" s="1">
        <v>140224239.43667626</v>
      </c>
      <c r="X21" s="1">
        <v>60529784.809946299</v>
      </c>
    </row>
    <row r="22" spans="1:24" x14ac:dyDescent="0.35">
      <c r="A22" s="1">
        <v>13</v>
      </c>
      <c r="B22" s="1" t="s">
        <v>43</v>
      </c>
      <c r="C22" s="1" t="s">
        <v>44</v>
      </c>
      <c r="D22" s="3">
        <v>72500</v>
      </c>
      <c r="V22" s="1">
        <v>15</v>
      </c>
      <c r="W22" s="1">
        <v>140224239.43667626</v>
      </c>
      <c r="X22" s="1">
        <v>200754024.24662256</v>
      </c>
    </row>
    <row r="23" spans="1:24" x14ac:dyDescent="0.35">
      <c r="A23" s="1">
        <v>11</v>
      </c>
      <c r="B23" s="1" t="s">
        <v>45</v>
      </c>
      <c r="D23" s="3"/>
    </row>
    <row r="24" spans="1:24" x14ac:dyDescent="0.35">
      <c r="B24" s="1" t="s">
        <v>46</v>
      </c>
      <c r="C24" s="1" t="s">
        <v>44</v>
      </c>
      <c r="D24" s="3">
        <f>((70/6322)*D25)*D29</f>
        <v>793207.84561847523</v>
      </c>
      <c r="E24" s="1" t="s">
        <v>47</v>
      </c>
      <c r="V24" s="1" t="s">
        <v>48</v>
      </c>
      <c r="W24" s="7">
        <f>W8+NPV(10.5%,W9:W22)</f>
        <v>-863648812.25032461</v>
      </c>
    </row>
    <row r="25" spans="1:24" x14ac:dyDescent="0.35">
      <c r="B25" s="1" t="s">
        <v>49</v>
      </c>
      <c r="C25" s="1" t="s">
        <v>50</v>
      </c>
      <c r="D25" s="3">
        <v>4300</v>
      </c>
      <c r="E25" s="4"/>
      <c r="V25" s="1" t="s">
        <v>51</v>
      </c>
      <c r="W25" s="8">
        <f>IRR(W8:W22,10.5%)</f>
        <v>4.3113072492411142E-3</v>
      </c>
    </row>
    <row r="26" spans="1:24" x14ac:dyDescent="0.35">
      <c r="B26" s="1" t="s">
        <v>52</v>
      </c>
      <c r="C26" s="1" t="s">
        <v>15</v>
      </c>
      <c r="D26" s="1">
        <v>4200</v>
      </c>
      <c r="E26" s="9">
        <f>((70/6322)*D26)*D29</f>
        <v>774761.15153432463</v>
      </c>
      <c r="V26" s="1" t="s">
        <v>53</v>
      </c>
      <c r="W26" s="10">
        <f>V21-(X21/W22)</f>
        <v>13.568335795201222</v>
      </c>
    </row>
    <row r="27" spans="1:24" x14ac:dyDescent="0.35">
      <c r="B27" s="1" t="s">
        <v>54</v>
      </c>
      <c r="C27" s="1" t="s">
        <v>15</v>
      </c>
      <c r="D27" s="1">
        <f>320000</f>
        <v>320000</v>
      </c>
      <c r="E27" s="1" t="s">
        <v>55</v>
      </c>
    </row>
    <row r="29" spans="1:24" x14ac:dyDescent="0.35">
      <c r="A29" s="1">
        <v>15</v>
      </c>
      <c r="B29" s="1" t="s">
        <v>56</v>
      </c>
      <c r="C29" s="1" t="s">
        <v>2</v>
      </c>
      <c r="D29" s="3">
        <v>16660</v>
      </c>
      <c r="E29" s="1" t="s">
        <v>57</v>
      </c>
    </row>
    <row r="31" spans="1:24" x14ac:dyDescent="0.35">
      <c r="A31" s="1" t="s">
        <v>58</v>
      </c>
    </row>
    <row r="32" spans="1:24" x14ac:dyDescent="0.35">
      <c r="A32" s="11" t="s">
        <v>59</v>
      </c>
      <c r="B32" s="11" t="s">
        <v>3</v>
      </c>
      <c r="C32" s="11" t="s">
        <v>4</v>
      </c>
      <c r="D32" s="11"/>
    </row>
    <row r="33" spans="1:4" x14ac:dyDescent="0.35">
      <c r="A33" s="1">
        <v>1</v>
      </c>
      <c r="B33" s="1" t="s">
        <v>60</v>
      </c>
      <c r="C33" s="1" t="s">
        <v>61</v>
      </c>
      <c r="D33" s="1" t="s">
        <v>62</v>
      </c>
    </row>
    <row r="34" spans="1:4" x14ac:dyDescent="0.35">
      <c r="A34" s="1">
        <v>2</v>
      </c>
      <c r="B34" s="1" t="s">
        <v>63</v>
      </c>
      <c r="C34" s="1" t="s">
        <v>64</v>
      </c>
      <c r="D34" s="12">
        <f>10000/4</f>
        <v>2500</v>
      </c>
    </row>
    <row r="35" spans="1:4" x14ac:dyDescent="0.35">
      <c r="A35" s="1">
        <v>3</v>
      </c>
      <c r="B35" s="1" t="s">
        <v>65</v>
      </c>
      <c r="C35" s="1" t="s">
        <v>66</v>
      </c>
      <c r="D35" s="12">
        <v>45.988264454521556</v>
      </c>
    </row>
    <row r="36" spans="1:4" x14ac:dyDescent="0.35">
      <c r="B36" s="1" t="s">
        <v>67</v>
      </c>
      <c r="C36" s="1" t="s">
        <v>68</v>
      </c>
      <c r="D36" s="13">
        <v>0.15</v>
      </c>
    </row>
    <row r="37" spans="1:4" x14ac:dyDescent="0.35">
      <c r="A37" s="14" t="s">
        <v>69</v>
      </c>
      <c r="B37" s="14" t="s">
        <v>70</v>
      </c>
      <c r="C37" s="14"/>
      <c r="D37" s="14"/>
    </row>
    <row r="38" spans="1:4" x14ac:dyDescent="0.35">
      <c r="A38" s="14"/>
      <c r="B38" s="14" t="s">
        <v>71</v>
      </c>
      <c r="C38" s="14"/>
      <c r="D38" s="14"/>
    </row>
    <row r="39" spans="1:4" x14ac:dyDescent="0.35">
      <c r="A39" s="14"/>
      <c r="B39" s="14" t="s">
        <v>63</v>
      </c>
      <c r="C39" s="14"/>
      <c r="D39" s="14"/>
    </row>
    <row r="40" spans="1:4" x14ac:dyDescent="0.35">
      <c r="A40" s="1">
        <v>4</v>
      </c>
      <c r="B40" s="1" t="s">
        <v>72</v>
      </c>
      <c r="C40" s="1" t="s">
        <v>73</v>
      </c>
      <c r="D40" s="15">
        <v>1</v>
      </c>
    </row>
    <row r="41" spans="1:4" x14ac:dyDescent="0.35">
      <c r="A41" s="1">
        <v>5</v>
      </c>
      <c r="B41" s="1" t="s">
        <v>74</v>
      </c>
    </row>
    <row r="42" spans="1:4" x14ac:dyDescent="0.35">
      <c r="B42" s="1" t="s">
        <v>75</v>
      </c>
      <c r="C42" s="1" t="s">
        <v>76</v>
      </c>
      <c r="D42" s="16">
        <f>[1]Parameter!I16/1000</f>
        <v>26.959735388608834</v>
      </c>
    </row>
    <row r="43" spans="1:4" x14ac:dyDescent="0.35">
      <c r="A43" s="1">
        <v>6</v>
      </c>
      <c r="B43" s="1" t="s">
        <v>77</v>
      </c>
      <c r="C43" s="1" t="s">
        <v>68</v>
      </c>
      <c r="D43" s="15">
        <v>15</v>
      </c>
    </row>
    <row r="44" spans="1:4" x14ac:dyDescent="0.35">
      <c r="A44" s="14" t="s">
        <v>78</v>
      </c>
      <c r="B44" s="14" t="s">
        <v>79</v>
      </c>
      <c r="C44" s="14"/>
      <c r="D44" s="14"/>
    </row>
    <row r="45" spans="1:4" x14ac:dyDescent="0.35">
      <c r="B45" s="1" t="s">
        <v>71</v>
      </c>
      <c r="C45" s="1" t="s">
        <v>61</v>
      </c>
      <c r="D45" s="17" t="s">
        <v>80</v>
      </c>
    </row>
    <row r="46" spans="1:4" x14ac:dyDescent="0.35">
      <c r="B46" s="1" t="s">
        <v>63</v>
      </c>
      <c r="C46" s="1" t="s">
        <v>81</v>
      </c>
      <c r="D46" s="1">
        <v>2500</v>
      </c>
    </row>
    <row r="47" spans="1:4" x14ac:dyDescent="0.35">
      <c r="B47" s="1" t="s">
        <v>72</v>
      </c>
      <c r="C47" s="1" t="s">
        <v>73</v>
      </c>
      <c r="D47" s="12">
        <v>2</v>
      </c>
    </row>
    <row r="48" spans="1:4" x14ac:dyDescent="0.35">
      <c r="A48" s="1">
        <v>8</v>
      </c>
      <c r="B48" s="1" t="s">
        <v>77</v>
      </c>
      <c r="C48" s="1" t="s">
        <v>68</v>
      </c>
      <c r="D48" s="12">
        <v>15</v>
      </c>
    </row>
    <row r="49" spans="1:20" x14ac:dyDescent="0.35">
      <c r="A49" s="1">
        <v>9</v>
      </c>
      <c r="B49" s="1" t="s">
        <v>74</v>
      </c>
      <c r="D49" s="12"/>
    </row>
    <row r="50" spans="1:20" x14ac:dyDescent="0.35">
      <c r="C50" s="1" t="s">
        <v>76</v>
      </c>
      <c r="D50" s="18">
        <f>([1]Parameter!G22*Finasial!D46)/1000</f>
        <v>16.119666663550341</v>
      </c>
      <c r="E50" s="19"/>
    </row>
    <row r="51" spans="1:20" x14ac:dyDescent="0.35">
      <c r="A51" s="14" t="s">
        <v>78</v>
      </c>
      <c r="B51" s="14" t="s">
        <v>82</v>
      </c>
      <c r="C51" s="14"/>
      <c r="D51" s="14"/>
      <c r="E51" s="20"/>
      <c r="F51" s="20"/>
    </row>
    <row r="52" spans="1:20" x14ac:dyDescent="0.35">
      <c r="B52" s="1" t="s">
        <v>83</v>
      </c>
      <c r="C52" s="1" t="s">
        <v>84</v>
      </c>
      <c r="D52" s="15">
        <v>480</v>
      </c>
    </row>
    <row r="53" spans="1:20" x14ac:dyDescent="0.35">
      <c r="A53" s="21" t="s">
        <v>85</v>
      </c>
      <c r="B53" s="21" t="s">
        <v>86</v>
      </c>
      <c r="C53" s="21"/>
      <c r="D53" s="21"/>
    </row>
    <row r="54" spans="1:20" x14ac:dyDescent="0.35">
      <c r="A54" s="1">
        <v>1</v>
      </c>
      <c r="B54" s="1" t="s">
        <v>87</v>
      </c>
      <c r="C54" s="1" t="s">
        <v>88</v>
      </c>
      <c r="D54" s="15">
        <v>80</v>
      </c>
    </row>
    <row r="55" spans="1:20" x14ac:dyDescent="0.35">
      <c r="A55" s="1">
        <v>2</v>
      </c>
      <c r="B55" s="1" t="s">
        <v>89</v>
      </c>
      <c r="C55" s="1" t="s">
        <v>90</v>
      </c>
      <c r="D55" s="22">
        <v>0.5</v>
      </c>
    </row>
    <row r="56" spans="1:20" x14ac:dyDescent="0.35">
      <c r="B56" s="1" t="s">
        <v>91</v>
      </c>
      <c r="C56" s="1" t="s">
        <v>92</v>
      </c>
      <c r="D56" s="22">
        <f>20*12</f>
        <v>240</v>
      </c>
    </row>
    <row r="57" spans="1:20" x14ac:dyDescent="0.35">
      <c r="B57" s="1" t="s">
        <v>93</v>
      </c>
      <c r="C57" s="1" t="s">
        <v>94</v>
      </c>
      <c r="D57" s="22">
        <v>1</v>
      </c>
    </row>
    <row r="58" spans="1:20" x14ac:dyDescent="0.35">
      <c r="B58" s="1" t="s">
        <v>95</v>
      </c>
      <c r="C58" s="1" t="s">
        <v>96</v>
      </c>
      <c r="D58" s="22">
        <v>9</v>
      </c>
    </row>
    <row r="59" spans="1:20" x14ac:dyDescent="0.35">
      <c r="B59" s="1" t="s">
        <v>97</v>
      </c>
      <c r="C59" s="23">
        <v>0.1</v>
      </c>
    </row>
    <row r="60" spans="1:20" x14ac:dyDescent="0.35">
      <c r="C60" s="23"/>
    </row>
    <row r="61" spans="1:20" x14ac:dyDescent="0.35">
      <c r="C61" s="23"/>
    </row>
    <row r="62" spans="1:20" x14ac:dyDescent="0.35">
      <c r="A62" s="1" t="s">
        <v>98</v>
      </c>
      <c r="C62" s="23"/>
    </row>
    <row r="64" spans="1:20" x14ac:dyDescent="0.35">
      <c r="A64" s="11" t="s">
        <v>59</v>
      </c>
      <c r="B64" s="11" t="s">
        <v>3</v>
      </c>
      <c r="C64" s="11" t="s">
        <v>4</v>
      </c>
      <c r="D64" s="48" t="s">
        <v>99</v>
      </c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</row>
    <row r="65" spans="1:20" x14ac:dyDescent="0.35">
      <c r="A65" s="11"/>
      <c r="B65" s="11"/>
      <c r="C65" s="11"/>
      <c r="D65" s="48"/>
      <c r="E65" s="24">
        <v>0</v>
      </c>
      <c r="F65" s="24">
        <v>1</v>
      </c>
      <c r="G65" s="24">
        <v>2</v>
      </c>
      <c r="H65" s="24">
        <v>3</v>
      </c>
      <c r="I65" s="24">
        <v>4</v>
      </c>
      <c r="J65" s="24">
        <v>5</v>
      </c>
      <c r="K65" s="24">
        <v>6</v>
      </c>
      <c r="L65" s="24">
        <v>7</v>
      </c>
      <c r="M65" s="24">
        <v>8</v>
      </c>
      <c r="N65" s="24">
        <v>9</v>
      </c>
      <c r="O65" s="24">
        <v>10</v>
      </c>
      <c r="P65" s="24">
        <v>11</v>
      </c>
      <c r="Q65" s="24">
        <v>12</v>
      </c>
      <c r="R65" s="24">
        <v>13</v>
      </c>
      <c r="S65" s="24">
        <v>14</v>
      </c>
      <c r="T65" s="24">
        <v>15</v>
      </c>
    </row>
    <row r="66" spans="1:20" x14ac:dyDescent="0.35">
      <c r="A66" s="14"/>
      <c r="B66" s="14" t="s">
        <v>100</v>
      </c>
      <c r="C66" s="14" t="s">
        <v>101</v>
      </c>
      <c r="D66" s="25">
        <f>SUM(E66:T66)</f>
        <v>662.23100814511042</v>
      </c>
      <c r="E66" s="25">
        <f>$D$35*90%</f>
        <v>41.389438009069401</v>
      </c>
      <c r="F66" s="25">
        <f>$D$35*90%</f>
        <v>41.389438009069401</v>
      </c>
      <c r="G66" s="25">
        <f t="shared" ref="G66:T66" si="0">$D$35*90%</f>
        <v>41.389438009069401</v>
      </c>
      <c r="H66" s="25">
        <f t="shared" si="0"/>
        <v>41.389438009069401</v>
      </c>
      <c r="I66" s="25">
        <f t="shared" si="0"/>
        <v>41.389438009069401</v>
      </c>
      <c r="J66" s="25">
        <f t="shared" si="0"/>
        <v>41.389438009069401</v>
      </c>
      <c r="K66" s="25">
        <f t="shared" si="0"/>
        <v>41.389438009069401</v>
      </c>
      <c r="L66" s="25">
        <f t="shared" si="0"/>
        <v>41.389438009069401</v>
      </c>
      <c r="M66" s="25">
        <f t="shared" si="0"/>
        <v>41.389438009069401</v>
      </c>
      <c r="N66" s="25">
        <f t="shared" si="0"/>
        <v>41.389438009069401</v>
      </c>
      <c r="O66" s="25">
        <f t="shared" si="0"/>
        <v>41.389438009069401</v>
      </c>
      <c r="P66" s="25">
        <f t="shared" si="0"/>
        <v>41.389438009069401</v>
      </c>
      <c r="Q66" s="25">
        <f t="shared" si="0"/>
        <v>41.389438009069401</v>
      </c>
      <c r="R66" s="25">
        <f t="shared" si="0"/>
        <v>41.389438009069401</v>
      </c>
      <c r="S66" s="25">
        <f t="shared" si="0"/>
        <v>41.389438009069401</v>
      </c>
      <c r="T66" s="25">
        <f t="shared" si="0"/>
        <v>41.389438009069401</v>
      </c>
    </row>
    <row r="67" spans="1:20" x14ac:dyDescent="0.35">
      <c r="A67" s="1">
        <v>1</v>
      </c>
      <c r="B67" s="1" t="s">
        <v>102</v>
      </c>
      <c r="C67" s="26" t="s">
        <v>2</v>
      </c>
      <c r="D67" s="27">
        <f>SUM(E67:T67)</f>
        <v>206947190.04534701</v>
      </c>
      <c r="E67" s="27">
        <f>(D8*E66*D34)</f>
        <v>206947190.04534701</v>
      </c>
      <c r="F67" s="27"/>
      <c r="G67" s="27"/>
      <c r="H67" s="27"/>
    </row>
    <row r="68" spans="1:20" x14ac:dyDescent="0.35">
      <c r="A68" s="1">
        <v>2</v>
      </c>
      <c r="B68" s="6" t="s">
        <v>103</v>
      </c>
      <c r="C68" s="26" t="s">
        <v>2</v>
      </c>
      <c r="D68" s="27"/>
      <c r="E68" s="28"/>
      <c r="F68" s="28"/>
      <c r="G68" s="28"/>
      <c r="H68" s="28"/>
    </row>
    <row r="69" spans="1:20" x14ac:dyDescent="0.35">
      <c r="B69" s="6" t="s">
        <v>104</v>
      </c>
      <c r="C69" s="26" t="s">
        <v>2</v>
      </c>
      <c r="D69" s="27">
        <f t="shared" ref="D69:D75" si="1">SUM(E69:T69)</f>
        <v>186252471.04081231</v>
      </c>
      <c r="E69" s="27">
        <f>D4*E66</f>
        <v>186252471.04081231</v>
      </c>
      <c r="F69" s="27"/>
      <c r="G69" s="27"/>
      <c r="H69" s="27"/>
    </row>
    <row r="70" spans="1:20" x14ac:dyDescent="0.35">
      <c r="B70" s="6" t="s">
        <v>22</v>
      </c>
      <c r="C70" s="26" t="s">
        <v>2</v>
      </c>
      <c r="D70" s="27">
        <f t="shared" si="1"/>
        <v>258683987.55668375</v>
      </c>
      <c r="E70" s="27">
        <f>1*2500*E66*D9</f>
        <v>258683987.55668375</v>
      </c>
      <c r="F70" s="27"/>
      <c r="G70" s="27"/>
      <c r="H70" s="27"/>
    </row>
    <row r="71" spans="1:20" x14ac:dyDescent="0.35">
      <c r="B71" s="6" t="s">
        <v>29</v>
      </c>
      <c r="C71" s="26" t="s">
        <v>2</v>
      </c>
      <c r="D71" s="27">
        <f t="shared" si="1"/>
        <v>53806269.411790222</v>
      </c>
      <c r="E71" s="27">
        <f>10*D3*E66</f>
        <v>53806269.411790222</v>
      </c>
      <c r="F71" s="27"/>
      <c r="G71" s="27"/>
      <c r="H71" s="27"/>
    </row>
    <row r="72" spans="1:20" x14ac:dyDescent="0.35">
      <c r="A72" s="1">
        <v>3</v>
      </c>
      <c r="B72" s="6" t="s">
        <v>105</v>
      </c>
      <c r="C72" s="26" t="s">
        <v>2</v>
      </c>
      <c r="D72" s="27">
        <f t="shared" si="1"/>
        <v>161418808.23537067</v>
      </c>
      <c r="E72" s="27"/>
      <c r="F72" s="27">
        <f>F66*2*D3</f>
        <v>10761253.882358044</v>
      </c>
      <c r="G72" s="27">
        <f>F66*2*D3</f>
        <v>10761253.882358044</v>
      </c>
      <c r="H72" s="27">
        <f>F66*2*D3</f>
        <v>10761253.882358044</v>
      </c>
      <c r="I72" s="1">
        <f>F66*2*D3</f>
        <v>10761253.882358044</v>
      </c>
      <c r="J72" s="1">
        <f>F66*2*D3</f>
        <v>10761253.882358044</v>
      </c>
      <c r="K72" s="1">
        <f>F66*2*D3</f>
        <v>10761253.882358044</v>
      </c>
      <c r="L72" s="1">
        <f>F66*2*D3</f>
        <v>10761253.882358044</v>
      </c>
      <c r="M72" s="1">
        <f>F66*2*D3</f>
        <v>10761253.882358044</v>
      </c>
      <c r="N72" s="1">
        <f>F66*2*D3</f>
        <v>10761253.882358044</v>
      </c>
      <c r="O72" s="1">
        <f t="shared" ref="O72:T72" si="2">$F$66*2*$D$3</f>
        <v>10761253.882358044</v>
      </c>
      <c r="P72" s="1">
        <f t="shared" si="2"/>
        <v>10761253.882358044</v>
      </c>
      <c r="Q72" s="1">
        <f t="shared" si="2"/>
        <v>10761253.882358044</v>
      </c>
      <c r="R72" s="1">
        <f t="shared" si="2"/>
        <v>10761253.882358044</v>
      </c>
      <c r="S72" s="1">
        <f t="shared" si="2"/>
        <v>10761253.882358044</v>
      </c>
      <c r="T72" s="1">
        <f t="shared" si="2"/>
        <v>10761253.882358044</v>
      </c>
    </row>
    <row r="73" spans="1:20" x14ac:dyDescent="0.35">
      <c r="A73" s="1">
        <v>4</v>
      </c>
      <c r="B73" s="6" t="s">
        <v>106</v>
      </c>
      <c r="C73" s="26" t="s">
        <v>2</v>
      </c>
      <c r="D73" s="27"/>
      <c r="E73" s="28"/>
      <c r="F73" s="28"/>
      <c r="G73" s="28"/>
      <c r="H73" s="28"/>
    </row>
    <row r="74" spans="1:20" x14ac:dyDescent="0.35">
      <c r="B74" s="6" t="s">
        <v>31</v>
      </c>
      <c r="C74" s="26" t="s">
        <v>2</v>
      </c>
      <c r="D74" s="27">
        <f t="shared" si="1"/>
        <v>807094041.17685366</v>
      </c>
      <c r="E74" s="28"/>
      <c r="F74" s="28">
        <f>10*F66*$D$3</f>
        <v>53806269.411790222</v>
      </c>
      <c r="G74" s="28">
        <f t="shared" ref="G74:T74" si="3">10*G66*$D$3</f>
        <v>53806269.411790222</v>
      </c>
      <c r="H74" s="28">
        <f t="shared" si="3"/>
        <v>53806269.411790222</v>
      </c>
      <c r="I74" s="28">
        <f t="shared" si="3"/>
        <v>53806269.411790222</v>
      </c>
      <c r="J74" s="28">
        <f t="shared" si="3"/>
        <v>53806269.411790222</v>
      </c>
      <c r="K74" s="28">
        <f t="shared" si="3"/>
        <v>53806269.411790222</v>
      </c>
      <c r="L74" s="28">
        <f t="shared" si="3"/>
        <v>53806269.411790222</v>
      </c>
      <c r="M74" s="28">
        <f t="shared" si="3"/>
        <v>53806269.411790222</v>
      </c>
      <c r="N74" s="28">
        <f t="shared" si="3"/>
        <v>53806269.411790222</v>
      </c>
      <c r="O74" s="28">
        <f t="shared" si="3"/>
        <v>53806269.411790222</v>
      </c>
      <c r="P74" s="28">
        <f t="shared" si="3"/>
        <v>53806269.411790222</v>
      </c>
      <c r="Q74" s="28">
        <f t="shared" si="3"/>
        <v>53806269.411790222</v>
      </c>
      <c r="R74" s="28">
        <f t="shared" si="3"/>
        <v>53806269.411790222</v>
      </c>
      <c r="S74" s="28">
        <f t="shared" si="3"/>
        <v>53806269.411790222</v>
      </c>
      <c r="T74" s="28">
        <f t="shared" si="3"/>
        <v>53806269.411790222</v>
      </c>
    </row>
    <row r="75" spans="1:20" x14ac:dyDescent="0.35">
      <c r="B75" s="6" t="s">
        <v>107</v>
      </c>
      <c r="C75" s="26" t="s">
        <v>2</v>
      </c>
      <c r="D75" s="27">
        <f t="shared" si="1"/>
        <v>10000000</v>
      </c>
      <c r="E75" s="28">
        <f>D14*4</f>
        <v>10000000</v>
      </c>
      <c r="F75" s="28"/>
      <c r="G75" s="28"/>
      <c r="H75" s="28"/>
    </row>
    <row r="76" spans="1:20" x14ac:dyDescent="0.35">
      <c r="B76" s="6" t="s">
        <v>108</v>
      </c>
      <c r="C76" s="26" t="s">
        <v>2</v>
      </c>
      <c r="D76" s="27">
        <f>SUM(E76:T76)</f>
        <v>6208415.7013604101</v>
      </c>
      <c r="E76" s="28"/>
      <c r="F76" s="28">
        <f>10000*F66</f>
        <v>413894.380090694</v>
      </c>
      <c r="G76" s="28">
        <f>10000*G66</f>
        <v>413894.380090694</v>
      </c>
      <c r="H76" s="28">
        <f>10000*H66</f>
        <v>413894.380090694</v>
      </c>
      <c r="I76" s="28">
        <f>10000*H66</f>
        <v>413894.380090694</v>
      </c>
      <c r="J76" s="28">
        <f>10000*H66</f>
        <v>413894.380090694</v>
      </c>
      <c r="K76" s="1">
        <f>10000*H66</f>
        <v>413894.380090694</v>
      </c>
      <c r="L76" s="1">
        <f>10000*H66</f>
        <v>413894.380090694</v>
      </c>
      <c r="M76" s="1">
        <f>10000*H66</f>
        <v>413894.380090694</v>
      </c>
      <c r="N76" s="1">
        <f>10000*H66</f>
        <v>413894.380090694</v>
      </c>
      <c r="O76" s="1">
        <f t="shared" ref="O76:T76" si="4">10000*$H$66</f>
        <v>413894.380090694</v>
      </c>
      <c r="P76" s="1">
        <f t="shared" si="4"/>
        <v>413894.380090694</v>
      </c>
      <c r="Q76" s="1">
        <f t="shared" si="4"/>
        <v>413894.380090694</v>
      </c>
      <c r="R76" s="1">
        <f t="shared" si="4"/>
        <v>413894.380090694</v>
      </c>
      <c r="S76" s="1">
        <f t="shared" si="4"/>
        <v>413894.380090694</v>
      </c>
      <c r="T76" s="1">
        <f t="shared" si="4"/>
        <v>413894.380090694</v>
      </c>
    </row>
    <row r="77" spans="1:20" x14ac:dyDescent="0.35">
      <c r="A77" s="29"/>
      <c r="B77" s="30" t="s">
        <v>109</v>
      </c>
      <c r="C77" s="31" t="s">
        <v>2</v>
      </c>
      <c r="D77" s="32">
        <f>SUM(D67:D76)</f>
        <v>1690411183.1682181</v>
      </c>
      <c r="E77" s="33">
        <f>SUM(E67:E76)</f>
        <v>715689918.05463338</v>
      </c>
      <c r="F77" s="33">
        <f>SUM(F67:F76)</f>
        <v>64981417.674238957</v>
      </c>
      <c r="G77" s="33">
        <f t="shared" ref="G77:T77" si="5">SUM(G67:G76)</f>
        <v>64981417.674238957</v>
      </c>
      <c r="H77" s="33">
        <f t="shared" si="5"/>
        <v>64981417.674238957</v>
      </c>
      <c r="I77" s="33">
        <f t="shared" si="5"/>
        <v>64981417.674238957</v>
      </c>
      <c r="J77" s="33">
        <f t="shared" si="5"/>
        <v>64981417.674238957</v>
      </c>
      <c r="K77" s="33">
        <f t="shared" si="5"/>
        <v>64981417.674238957</v>
      </c>
      <c r="L77" s="33">
        <f t="shared" si="5"/>
        <v>64981417.674238957</v>
      </c>
      <c r="M77" s="33">
        <f t="shared" si="5"/>
        <v>64981417.674238957</v>
      </c>
      <c r="N77" s="33">
        <f t="shared" si="5"/>
        <v>64981417.674238957</v>
      </c>
      <c r="O77" s="33">
        <f t="shared" si="5"/>
        <v>64981417.674238957</v>
      </c>
      <c r="P77" s="33">
        <f t="shared" si="5"/>
        <v>64981417.674238957</v>
      </c>
      <c r="Q77" s="33">
        <f t="shared" si="5"/>
        <v>64981417.674238957</v>
      </c>
      <c r="R77" s="33">
        <f t="shared" si="5"/>
        <v>64981417.674238957</v>
      </c>
      <c r="S77" s="33">
        <f t="shared" si="5"/>
        <v>64981417.674238957</v>
      </c>
      <c r="T77" s="33">
        <f t="shared" si="5"/>
        <v>64981417.674238957</v>
      </c>
    </row>
    <row r="78" spans="1:20" x14ac:dyDescent="0.35">
      <c r="A78" s="1">
        <v>5</v>
      </c>
      <c r="B78" s="6" t="s">
        <v>110</v>
      </c>
      <c r="C78" s="26" t="s">
        <v>2</v>
      </c>
      <c r="D78" s="27"/>
      <c r="E78" s="28"/>
      <c r="F78" s="28"/>
      <c r="G78" s="28"/>
      <c r="H78" s="28"/>
    </row>
    <row r="79" spans="1:20" x14ac:dyDescent="0.35">
      <c r="B79" s="1" t="s">
        <v>34</v>
      </c>
      <c r="C79" s="26" t="s">
        <v>2</v>
      </c>
      <c r="D79" s="27">
        <f>SUM(E79:T79)</f>
        <v>1082900000</v>
      </c>
      <c r="E79" s="28">
        <f>D18</f>
        <v>1082900000</v>
      </c>
      <c r="F79" s="28"/>
      <c r="G79" s="28"/>
      <c r="H79" s="28"/>
    </row>
    <row r="80" spans="1:20" x14ac:dyDescent="0.35">
      <c r="B80" s="6" t="s">
        <v>38</v>
      </c>
      <c r="C80" s="26" t="s">
        <v>2</v>
      </c>
      <c r="D80" s="27">
        <f t="shared" ref="D80:D82" si="6">SUM(E80:T80)</f>
        <v>324870000</v>
      </c>
      <c r="E80" s="28"/>
      <c r="F80" s="28">
        <f>2%*$E$79</f>
        <v>21658000</v>
      </c>
      <c r="G80" s="28">
        <f t="shared" ref="G80:T80" si="7">2%*$E$79</f>
        <v>21658000</v>
      </c>
      <c r="H80" s="28">
        <f t="shared" si="7"/>
        <v>21658000</v>
      </c>
      <c r="I80" s="28">
        <f t="shared" si="7"/>
        <v>21658000</v>
      </c>
      <c r="J80" s="28">
        <f t="shared" si="7"/>
        <v>21658000</v>
      </c>
      <c r="K80" s="28">
        <f t="shared" si="7"/>
        <v>21658000</v>
      </c>
      <c r="L80" s="28">
        <f t="shared" si="7"/>
        <v>21658000</v>
      </c>
      <c r="M80" s="28">
        <f t="shared" si="7"/>
        <v>21658000</v>
      </c>
      <c r="N80" s="28">
        <f t="shared" si="7"/>
        <v>21658000</v>
      </c>
      <c r="O80" s="28">
        <f t="shared" si="7"/>
        <v>21658000</v>
      </c>
      <c r="P80" s="28">
        <f t="shared" si="7"/>
        <v>21658000</v>
      </c>
      <c r="Q80" s="28">
        <f t="shared" si="7"/>
        <v>21658000</v>
      </c>
      <c r="R80" s="28">
        <f t="shared" si="7"/>
        <v>21658000</v>
      </c>
      <c r="S80" s="28">
        <f t="shared" si="7"/>
        <v>21658000</v>
      </c>
      <c r="T80" s="28">
        <f t="shared" si="7"/>
        <v>21658000</v>
      </c>
    </row>
    <row r="81" spans="1:20" x14ac:dyDescent="0.35">
      <c r="B81" s="6" t="s">
        <v>111</v>
      </c>
      <c r="C81" s="26"/>
      <c r="D81" s="27">
        <f t="shared" si="6"/>
        <v>794586671.99999988</v>
      </c>
      <c r="E81" s="28"/>
      <c r="F81" s="28">
        <f t="shared" ref="F81:T81" si="8">$D$58*22*$D$21*$D$56</f>
        <v>52972444.799999997</v>
      </c>
      <c r="G81" s="28">
        <f t="shared" si="8"/>
        <v>52972444.799999997</v>
      </c>
      <c r="H81" s="28">
        <f t="shared" si="8"/>
        <v>52972444.799999997</v>
      </c>
      <c r="I81" s="28">
        <f t="shared" si="8"/>
        <v>52972444.799999997</v>
      </c>
      <c r="J81" s="28">
        <f t="shared" si="8"/>
        <v>52972444.799999997</v>
      </c>
      <c r="K81" s="28">
        <f t="shared" si="8"/>
        <v>52972444.799999997</v>
      </c>
      <c r="L81" s="28">
        <f t="shared" si="8"/>
        <v>52972444.799999997</v>
      </c>
      <c r="M81" s="28">
        <f t="shared" si="8"/>
        <v>52972444.799999997</v>
      </c>
      <c r="N81" s="28">
        <f t="shared" si="8"/>
        <v>52972444.799999997</v>
      </c>
      <c r="O81" s="28">
        <f t="shared" si="8"/>
        <v>52972444.799999997</v>
      </c>
      <c r="P81" s="28">
        <f t="shared" si="8"/>
        <v>52972444.799999997</v>
      </c>
      <c r="Q81" s="28">
        <f t="shared" si="8"/>
        <v>52972444.799999997</v>
      </c>
      <c r="R81" s="28">
        <f t="shared" si="8"/>
        <v>52972444.799999997</v>
      </c>
      <c r="S81" s="28">
        <f t="shared" si="8"/>
        <v>52972444.799999997</v>
      </c>
      <c r="T81" s="28">
        <f t="shared" si="8"/>
        <v>52972444.799999997</v>
      </c>
    </row>
    <row r="82" spans="1:20" x14ac:dyDescent="0.35">
      <c r="B82" s="6" t="s">
        <v>112</v>
      </c>
      <c r="C82" s="26" t="s">
        <v>2</v>
      </c>
      <c r="D82" s="27">
        <f t="shared" si="6"/>
        <v>1404000000</v>
      </c>
      <c r="E82" s="28"/>
      <c r="F82" s="28">
        <f>(3*$D$3)*20*12</f>
        <v>93600000</v>
      </c>
      <c r="G82" s="28">
        <f t="shared" ref="G82:T82" si="9">(3*$D$3)*20*12</f>
        <v>93600000</v>
      </c>
      <c r="H82" s="28">
        <f t="shared" si="9"/>
        <v>93600000</v>
      </c>
      <c r="I82" s="28">
        <f t="shared" si="9"/>
        <v>93600000</v>
      </c>
      <c r="J82" s="28">
        <f t="shared" si="9"/>
        <v>93600000</v>
      </c>
      <c r="K82" s="28">
        <f t="shared" si="9"/>
        <v>93600000</v>
      </c>
      <c r="L82" s="28">
        <f t="shared" si="9"/>
        <v>93600000</v>
      </c>
      <c r="M82" s="28">
        <f t="shared" si="9"/>
        <v>93600000</v>
      </c>
      <c r="N82" s="28">
        <f t="shared" si="9"/>
        <v>93600000</v>
      </c>
      <c r="O82" s="28">
        <f t="shared" si="9"/>
        <v>93600000</v>
      </c>
      <c r="P82" s="28">
        <f t="shared" si="9"/>
        <v>93600000</v>
      </c>
      <c r="Q82" s="28">
        <f t="shared" si="9"/>
        <v>93600000</v>
      </c>
      <c r="R82" s="28">
        <f t="shared" si="9"/>
        <v>93600000</v>
      </c>
      <c r="S82" s="28">
        <f t="shared" si="9"/>
        <v>93600000</v>
      </c>
      <c r="T82" s="28">
        <f t="shared" si="9"/>
        <v>93600000</v>
      </c>
    </row>
    <row r="83" spans="1:20" x14ac:dyDescent="0.35">
      <c r="B83" s="30" t="s">
        <v>113</v>
      </c>
      <c r="C83" s="34" t="s">
        <v>2</v>
      </c>
      <c r="D83" s="32">
        <f>SUM(D78:D82)</f>
        <v>3606356672</v>
      </c>
      <c r="E83" s="32">
        <f>SUM(E78:E82)</f>
        <v>1082900000</v>
      </c>
      <c r="F83" s="32">
        <f>SUM(F78:F82)</f>
        <v>168230444.80000001</v>
      </c>
      <c r="G83" s="32">
        <f t="shared" ref="G83:T83" si="10">SUM(G78:G82)</f>
        <v>168230444.80000001</v>
      </c>
      <c r="H83" s="32">
        <f t="shared" si="10"/>
        <v>168230444.80000001</v>
      </c>
      <c r="I83" s="32">
        <f t="shared" si="10"/>
        <v>168230444.80000001</v>
      </c>
      <c r="J83" s="32">
        <f t="shared" si="10"/>
        <v>168230444.80000001</v>
      </c>
      <c r="K83" s="32">
        <f t="shared" si="10"/>
        <v>168230444.80000001</v>
      </c>
      <c r="L83" s="32">
        <f t="shared" si="10"/>
        <v>168230444.80000001</v>
      </c>
      <c r="M83" s="32">
        <f t="shared" si="10"/>
        <v>168230444.80000001</v>
      </c>
      <c r="N83" s="32">
        <f t="shared" si="10"/>
        <v>168230444.80000001</v>
      </c>
      <c r="O83" s="32">
        <f t="shared" si="10"/>
        <v>168230444.80000001</v>
      </c>
      <c r="P83" s="32">
        <f t="shared" si="10"/>
        <v>168230444.80000001</v>
      </c>
      <c r="Q83" s="32">
        <f t="shared" si="10"/>
        <v>168230444.80000001</v>
      </c>
      <c r="R83" s="32">
        <f t="shared" si="10"/>
        <v>168230444.80000001</v>
      </c>
      <c r="S83" s="32">
        <f t="shared" si="10"/>
        <v>168230444.80000001</v>
      </c>
      <c r="T83" s="32">
        <f t="shared" si="10"/>
        <v>168230444.80000001</v>
      </c>
    </row>
    <row r="84" spans="1:20" x14ac:dyDescent="0.35">
      <c r="B84" s="30" t="s">
        <v>114</v>
      </c>
      <c r="C84" s="34"/>
      <c r="D84" s="32">
        <f>SUM(E84:T84)</f>
        <v>5296767855.1682186</v>
      </c>
      <c r="E84" s="32">
        <f t="shared" ref="E84:T84" si="11">E77+E83</f>
        <v>1798589918.0546334</v>
      </c>
      <c r="F84" s="32">
        <f t="shared" si="11"/>
        <v>233211862.47423896</v>
      </c>
      <c r="G84" s="32">
        <f t="shared" si="11"/>
        <v>233211862.47423896</v>
      </c>
      <c r="H84" s="32">
        <f t="shared" si="11"/>
        <v>233211862.47423896</v>
      </c>
      <c r="I84" s="32">
        <f t="shared" si="11"/>
        <v>233211862.47423896</v>
      </c>
      <c r="J84" s="32">
        <f t="shared" si="11"/>
        <v>233211862.47423896</v>
      </c>
      <c r="K84" s="32">
        <f t="shared" si="11"/>
        <v>233211862.47423896</v>
      </c>
      <c r="L84" s="32">
        <f t="shared" si="11"/>
        <v>233211862.47423896</v>
      </c>
      <c r="M84" s="32">
        <f t="shared" si="11"/>
        <v>233211862.47423896</v>
      </c>
      <c r="N84" s="32">
        <f t="shared" si="11"/>
        <v>233211862.47423896</v>
      </c>
      <c r="O84" s="32">
        <f t="shared" si="11"/>
        <v>233211862.47423896</v>
      </c>
      <c r="P84" s="32">
        <f t="shared" si="11"/>
        <v>233211862.47423896</v>
      </c>
      <c r="Q84" s="32">
        <f t="shared" si="11"/>
        <v>233211862.47423896</v>
      </c>
      <c r="R84" s="32">
        <f t="shared" si="11"/>
        <v>233211862.47423896</v>
      </c>
      <c r="S84" s="32">
        <f t="shared" si="11"/>
        <v>233211862.47423896</v>
      </c>
      <c r="T84" s="32">
        <f t="shared" si="11"/>
        <v>233211862.47423896</v>
      </c>
    </row>
    <row r="85" spans="1:20" x14ac:dyDescent="0.35">
      <c r="A85" s="1">
        <v>6</v>
      </c>
      <c r="B85" s="6" t="s">
        <v>115</v>
      </c>
      <c r="C85" s="26" t="s">
        <v>2</v>
      </c>
      <c r="D85" s="28"/>
      <c r="E85" s="27"/>
      <c r="F85" s="27"/>
      <c r="G85" s="27"/>
      <c r="H85" s="27"/>
    </row>
    <row r="86" spans="1:20" x14ac:dyDescent="0.35">
      <c r="B86" s="35" t="s">
        <v>116</v>
      </c>
      <c r="C86" s="36"/>
      <c r="D86" s="37">
        <f>SUM(F86:T86)</f>
        <v>10621195480.671247</v>
      </c>
      <c r="E86" s="38"/>
      <c r="F86" s="38">
        <f>$F$66*($D$24*$D$42*$D$54%)</f>
        <v>708079698.7114166</v>
      </c>
      <c r="G86" s="38">
        <f t="shared" ref="G86:T86" si="12">$F$66*($D$24*$D$42*$D$54%)</f>
        <v>708079698.7114166</v>
      </c>
      <c r="H86" s="38">
        <f t="shared" si="12"/>
        <v>708079698.7114166</v>
      </c>
      <c r="I86" s="38">
        <f t="shared" si="12"/>
        <v>708079698.7114166</v>
      </c>
      <c r="J86" s="38">
        <f t="shared" si="12"/>
        <v>708079698.7114166</v>
      </c>
      <c r="K86" s="38">
        <f t="shared" si="12"/>
        <v>708079698.7114166</v>
      </c>
      <c r="L86" s="38">
        <f t="shared" si="12"/>
        <v>708079698.7114166</v>
      </c>
      <c r="M86" s="38">
        <f t="shared" si="12"/>
        <v>708079698.7114166</v>
      </c>
      <c r="N86" s="38">
        <f t="shared" si="12"/>
        <v>708079698.7114166</v>
      </c>
      <c r="O86" s="38">
        <f t="shared" si="12"/>
        <v>708079698.7114166</v>
      </c>
      <c r="P86" s="38">
        <f t="shared" si="12"/>
        <v>708079698.7114166</v>
      </c>
      <c r="Q86" s="38">
        <f t="shared" si="12"/>
        <v>708079698.7114166</v>
      </c>
      <c r="R86" s="38">
        <f t="shared" si="12"/>
        <v>708079698.7114166</v>
      </c>
      <c r="S86" s="38">
        <f t="shared" si="12"/>
        <v>708079698.7114166</v>
      </c>
      <c r="T86" s="38">
        <f t="shared" si="12"/>
        <v>708079698.7114166</v>
      </c>
    </row>
    <row r="87" spans="1:20" x14ac:dyDescent="0.35">
      <c r="C87" s="26"/>
      <c r="D87" s="27"/>
      <c r="E87" s="28"/>
      <c r="F87" s="28"/>
      <c r="G87" s="28"/>
      <c r="H87" s="28"/>
    </row>
    <row r="88" spans="1:20" x14ac:dyDescent="0.35">
      <c r="A88" s="1">
        <v>7</v>
      </c>
      <c r="B88" s="1" t="s">
        <v>117</v>
      </c>
      <c r="C88" s="26" t="s">
        <v>2</v>
      </c>
      <c r="D88" s="27">
        <f>SUM(E88:T88)</f>
        <v>5324427625.5030298</v>
      </c>
      <c r="E88" s="28">
        <f t="shared" ref="E88:T88" si="13">E86-E83-E77</f>
        <v>-1798589918.0546334</v>
      </c>
      <c r="F88" s="28">
        <f t="shared" si="13"/>
        <v>474867836.23717755</v>
      </c>
      <c r="G88" s="28">
        <f t="shared" si="13"/>
        <v>474867836.23717755</v>
      </c>
      <c r="H88" s="28">
        <f t="shared" si="13"/>
        <v>474867836.23717755</v>
      </c>
      <c r="I88" s="28">
        <f t="shared" si="13"/>
        <v>474867836.23717755</v>
      </c>
      <c r="J88" s="28">
        <f t="shared" si="13"/>
        <v>474867836.23717755</v>
      </c>
      <c r="K88" s="28">
        <f t="shared" si="13"/>
        <v>474867836.23717755</v>
      </c>
      <c r="L88" s="28">
        <f t="shared" si="13"/>
        <v>474867836.23717755</v>
      </c>
      <c r="M88" s="28">
        <f t="shared" si="13"/>
        <v>474867836.23717755</v>
      </c>
      <c r="N88" s="28">
        <f t="shared" si="13"/>
        <v>474867836.23717755</v>
      </c>
      <c r="O88" s="28">
        <f t="shared" si="13"/>
        <v>474867836.23717755</v>
      </c>
      <c r="P88" s="28">
        <f t="shared" si="13"/>
        <v>474867836.23717755</v>
      </c>
      <c r="Q88" s="28">
        <f t="shared" si="13"/>
        <v>474867836.23717755</v>
      </c>
      <c r="R88" s="28">
        <f t="shared" si="13"/>
        <v>474867836.23717755</v>
      </c>
      <c r="S88" s="28">
        <f t="shared" si="13"/>
        <v>474867836.23717755</v>
      </c>
      <c r="T88" s="28">
        <f t="shared" si="13"/>
        <v>474867836.23717755</v>
      </c>
    </row>
    <row r="89" spans="1:20" x14ac:dyDescent="0.35">
      <c r="B89" s="1" t="s">
        <v>118</v>
      </c>
      <c r="C89" s="26" t="s">
        <v>2</v>
      </c>
      <c r="D89" s="27">
        <f>SUM(E89:T89)</f>
        <v>71230175.435576618</v>
      </c>
      <c r="E89" s="28"/>
      <c r="F89" s="28">
        <f>1%*F88</f>
        <v>4748678.3623717753</v>
      </c>
      <c r="G89" s="28">
        <f t="shared" ref="G89:T89" si="14">1%*G88</f>
        <v>4748678.3623717753</v>
      </c>
      <c r="H89" s="28">
        <f t="shared" si="14"/>
        <v>4748678.3623717753</v>
      </c>
      <c r="I89" s="28">
        <f t="shared" si="14"/>
        <v>4748678.3623717753</v>
      </c>
      <c r="J89" s="28">
        <f t="shared" si="14"/>
        <v>4748678.3623717753</v>
      </c>
      <c r="K89" s="28">
        <f t="shared" si="14"/>
        <v>4748678.3623717753</v>
      </c>
      <c r="L89" s="28">
        <f t="shared" si="14"/>
        <v>4748678.3623717753</v>
      </c>
      <c r="M89" s="28">
        <f t="shared" si="14"/>
        <v>4748678.3623717753</v>
      </c>
      <c r="N89" s="28">
        <f t="shared" si="14"/>
        <v>4748678.3623717753</v>
      </c>
      <c r="O89" s="28">
        <f t="shared" si="14"/>
        <v>4748678.3623717753</v>
      </c>
      <c r="P89" s="28">
        <f t="shared" si="14"/>
        <v>4748678.3623717753</v>
      </c>
      <c r="Q89" s="28">
        <f t="shared" si="14"/>
        <v>4748678.3623717753</v>
      </c>
      <c r="R89" s="28">
        <f t="shared" si="14"/>
        <v>4748678.3623717753</v>
      </c>
      <c r="S89" s="28">
        <f t="shared" si="14"/>
        <v>4748678.3623717753</v>
      </c>
      <c r="T89" s="28">
        <f t="shared" si="14"/>
        <v>4748678.3623717753</v>
      </c>
    </row>
    <row r="90" spans="1:20" x14ac:dyDescent="0.35">
      <c r="A90" s="1">
        <v>8</v>
      </c>
      <c r="B90" s="1" t="s">
        <v>119</v>
      </c>
      <c r="C90" s="26" t="s">
        <v>2</v>
      </c>
      <c r="D90" s="27">
        <f t="shared" ref="D90:D92" si="15">SUM(E90:T90)</f>
        <v>0</v>
      </c>
      <c r="E90" s="28"/>
    </row>
    <row r="91" spans="1:20" x14ac:dyDescent="0.35">
      <c r="B91" s="1" t="s">
        <v>120</v>
      </c>
      <c r="C91" s="26" t="s">
        <v>2</v>
      </c>
      <c r="D91" s="27">
        <f t="shared" si="15"/>
        <v>715689918.05463362</v>
      </c>
      <c r="E91" s="28"/>
      <c r="F91" s="28">
        <f>$E$77/15</f>
        <v>47712661.203642227</v>
      </c>
      <c r="G91" s="28">
        <f t="shared" ref="G91:T91" si="16">$E$77/15</f>
        <v>47712661.203642227</v>
      </c>
      <c r="H91" s="28">
        <f t="shared" si="16"/>
        <v>47712661.203642227</v>
      </c>
      <c r="I91" s="28">
        <f t="shared" si="16"/>
        <v>47712661.203642227</v>
      </c>
      <c r="J91" s="28">
        <f t="shared" si="16"/>
        <v>47712661.203642227</v>
      </c>
      <c r="K91" s="28">
        <f t="shared" si="16"/>
        <v>47712661.203642227</v>
      </c>
      <c r="L91" s="28">
        <f t="shared" si="16"/>
        <v>47712661.203642227</v>
      </c>
      <c r="M91" s="28">
        <f t="shared" si="16"/>
        <v>47712661.203642227</v>
      </c>
      <c r="N91" s="28">
        <f t="shared" si="16"/>
        <v>47712661.203642227</v>
      </c>
      <c r="O91" s="28">
        <f t="shared" si="16"/>
        <v>47712661.203642227</v>
      </c>
      <c r="P91" s="28">
        <f t="shared" si="16"/>
        <v>47712661.203642227</v>
      </c>
      <c r="Q91" s="28">
        <f t="shared" si="16"/>
        <v>47712661.203642227</v>
      </c>
      <c r="R91" s="28">
        <f t="shared" si="16"/>
        <v>47712661.203642227</v>
      </c>
      <c r="S91" s="28">
        <f t="shared" si="16"/>
        <v>47712661.203642227</v>
      </c>
      <c r="T91" s="28">
        <f t="shared" si="16"/>
        <v>47712661.203642227</v>
      </c>
    </row>
    <row r="92" spans="1:20" x14ac:dyDescent="0.35">
      <c r="B92" s="1" t="s">
        <v>121</v>
      </c>
      <c r="C92" s="26"/>
      <c r="D92" s="27">
        <f t="shared" si="15"/>
        <v>1082900000.0000002</v>
      </c>
      <c r="E92" s="28"/>
      <c r="F92" s="28">
        <f>$E$83/15</f>
        <v>72193333.333333328</v>
      </c>
      <c r="G92" s="28">
        <f t="shared" ref="G92:T92" si="17">$E$83/15</f>
        <v>72193333.333333328</v>
      </c>
      <c r="H92" s="28">
        <f t="shared" si="17"/>
        <v>72193333.333333328</v>
      </c>
      <c r="I92" s="28">
        <f t="shared" si="17"/>
        <v>72193333.333333328</v>
      </c>
      <c r="J92" s="28">
        <f t="shared" si="17"/>
        <v>72193333.333333328</v>
      </c>
      <c r="K92" s="28">
        <f t="shared" si="17"/>
        <v>72193333.333333328</v>
      </c>
      <c r="L92" s="28">
        <f t="shared" si="17"/>
        <v>72193333.333333328</v>
      </c>
      <c r="M92" s="28">
        <f t="shared" si="17"/>
        <v>72193333.333333328</v>
      </c>
      <c r="N92" s="28">
        <f t="shared" si="17"/>
        <v>72193333.333333328</v>
      </c>
      <c r="O92" s="28">
        <f t="shared" si="17"/>
        <v>72193333.333333328</v>
      </c>
      <c r="P92" s="28">
        <f t="shared" si="17"/>
        <v>72193333.333333328</v>
      </c>
      <c r="Q92" s="28">
        <f t="shared" si="17"/>
        <v>72193333.333333328</v>
      </c>
      <c r="R92" s="28">
        <f t="shared" si="17"/>
        <v>72193333.333333328</v>
      </c>
      <c r="S92" s="28">
        <f t="shared" si="17"/>
        <v>72193333.333333328</v>
      </c>
      <c r="T92" s="28">
        <f t="shared" si="17"/>
        <v>72193333.333333328</v>
      </c>
    </row>
    <row r="93" spans="1:20" x14ac:dyDescent="0.35">
      <c r="B93" s="1" t="s">
        <v>122</v>
      </c>
      <c r="C93" s="26" t="s">
        <v>2</v>
      </c>
      <c r="D93" s="27">
        <f>SUM(E93:T93)</f>
        <v>5253197450.0674524</v>
      </c>
      <c r="E93" s="28"/>
      <c r="F93" s="28">
        <f>F88-F89-F91-F92</f>
        <v>350213163.33783019</v>
      </c>
      <c r="G93" s="28">
        <f t="shared" ref="G93:T93" si="18">G88-G89-G91-G92</f>
        <v>350213163.33783019</v>
      </c>
      <c r="H93" s="28">
        <f t="shared" si="18"/>
        <v>350213163.33783019</v>
      </c>
      <c r="I93" s="28">
        <f t="shared" si="18"/>
        <v>350213163.33783019</v>
      </c>
      <c r="J93" s="28">
        <f t="shared" si="18"/>
        <v>350213163.33783019</v>
      </c>
      <c r="K93" s="28">
        <f t="shared" si="18"/>
        <v>350213163.33783019</v>
      </c>
      <c r="L93" s="28">
        <f t="shared" si="18"/>
        <v>350213163.33783019</v>
      </c>
      <c r="M93" s="28">
        <f t="shared" si="18"/>
        <v>350213163.33783019</v>
      </c>
      <c r="N93" s="28">
        <f t="shared" si="18"/>
        <v>350213163.33783019</v>
      </c>
      <c r="O93" s="28">
        <f t="shared" si="18"/>
        <v>350213163.33783019</v>
      </c>
      <c r="P93" s="28">
        <f t="shared" si="18"/>
        <v>350213163.33783019</v>
      </c>
      <c r="Q93" s="28">
        <f t="shared" si="18"/>
        <v>350213163.33783019</v>
      </c>
      <c r="R93" s="28">
        <f t="shared" si="18"/>
        <v>350213163.33783019</v>
      </c>
      <c r="S93" s="28">
        <f t="shared" si="18"/>
        <v>350213163.33783019</v>
      </c>
      <c r="T93" s="28">
        <f t="shared" si="18"/>
        <v>350213163.33783019</v>
      </c>
    </row>
    <row r="94" spans="1:20" x14ac:dyDescent="0.35">
      <c r="B94" s="1" t="s">
        <v>123</v>
      </c>
      <c r="C94" s="26"/>
      <c r="D94" s="27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</row>
    <row r="95" spans="1:20" x14ac:dyDescent="0.35">
      <c r="A95" s="1">
        <v>9</v>
      </c>
      <c r="B95" s="1" t="s">
        <v>1</v>
      </c>
      <c r="C95" s="26">
        <f>D89</f>
        <v>71230175.435576618</v>
      </c>
      <c r="D95" s="27">
        <f>SUM(E95:T95)</f>
        <v>3454607532.0128188</v>
      </c>
      <c r="E95" s="28">
        <f>E86-E83-E77-E89-E91-E92</f>
        <v>-1798589918.0546334</v>
      </c>
      <c r="F95" s="28">
        <f>F86-F83-F77-F89-F91-F92</f>
        <v>350213163.33783019</v>
      </c>
      <c r="G95" s="28">
        <f t="shared" ref="G95:T95" si="19">G86-G83-G77-G89-G91-G92</f>
        <v>350213163.33783019</v>
      </c>
      <c r="H95" s="28">
        <f t="shared" si="19"/>
        <v>350213163.33783019</v>
      </c>
      <c r="I95" s="28">
        <f t="shared" si="19"/>
        <v>350213163.33783019</v>
      </c>
      <c r="J95" s="28">
        <f t="shared" si="19"/>
        <v>350213163.33783019</v>
      </c>
      <c r="K95" s="28">
        <f t="shared" si="19"/>
        <v>350213163.33783019</v>
      </c>
      <c r="L95" s="28">
        <f t="shared" si="19"/>
        <v>350213163.33783019</v>
      </c>
      <c r="M95" s="28">
        <f t="shared" si="19"/>
        <v>350213163.33783019</v>
      </c>
      <c r="N95" s="28">
        <f t="shared" si="19"/>
        <v>350213163.33783019</v>
      </c>
      <c r="O95" s="28">
        <f t="shared" si="19"/>
        <v>350213163.33783019</v>
      </c>
      <c r="P95" s="28">
        <f t="shared" si="19"/>
        <v>350213163.33783019</v>
      </c>
      <c r="Q95" s="28">
        <f t="shared" si="19"/>
        <v>350213163.33783019</v>
      </c>
      <c r="R95" s="28">
        <f t="shared" si="19"/>
        <v>350213163.33783019</v>
      </c>
      <c r="S95" s="28">
        <f t="shared" si="19"/>
        <v>350213163.33783019</v>
      </c>
      <c r="T95" s="28">
        <f t="shared" si="19"/>
        <v>350213163.33783019</v>
      </c>
    </row>
    <row r="96" spans="1:20" x14ac:dyDescent="0.35">
      <c r="B96" s="1" t="s">
        <v>7</v>
      </c>
      <c r="C96" s="26" t="s">
        <v>2</v>
      </c>
      <c r="D96" s="27">
        <f>SUM(E96:T96)</f>
        <v>13248140911.665487</v>
      </c>
      <c r="E96" s="28">
        <f>E95</f>
        <v>-1798589918.0546334</v>
      </c>
      <c r="F96" s="28">
        <f>E96+F95</f>
        <v>-1448376754.7168031</v>
      </c>
      <c r="G96" s="28">
        <f t="shared" ref="G96:T96" si="20">F96+G95</f>
        <v>-1098163591.378973</v>
      </c>
      <c r="H96" s="28">
        <f t="shared" si="20"/>
        <v>-747950428.04114282</v>
      </c>
      <c r="I96" s="28">
        <f t="shared" si="20"/>
        <v>-397737264.70331264</v>
      </c>
      <c r="J96" s="28">
        <f t="shared" si="20"/>
        <v>-47524101.36548245</v>
      </c>
      <c r="K96" s="28">
        <f t="shared" si="20"/>
        <v>302689061.97234774</v>
      </c>
      <c r="L96" s="28">
        <f t="shared" si="20"/>
        <v>652902225.31017792</v>
      </c>
      <c r="M96" s="28">
        <f t="shared" si="20"/>
        <v>1003115388.6480081</v>
      </c>
      <c r="N96" s="28">
        <f t="shared" si="20"/>
        <v>1353328551.9858384</v>
      </c>
      <c r="O96" s="28">
        <f t="shared" si="20"/>
        <v>1703541715.3236685</v>
      </c>
      <c r="P96" s="28">
        <f t="shared" si="20"/>
        <v>2053754878.6614985</v>
      </c>
      <c r="Q96" s="28">
        <f t="shared" si="20"/>
        <v>2403968041.9993286</v>
      </c>
      <c r="R96" s="28">
        <f t="shared" si="20"/>
        <v>2754181205.3371587</v>
      </c>
      <c r="S96" s="28">
        <f t="shared" si="20"/>
        <v>3104394368.6749887</v>
      </c>
      <c r="T96" s="28">
        <f t="shared" si="20"/>
        <v>3454607532.0128188</v>
      </c>
    </row>
    <row r="97" spans="1:20" x14ac:dyDescent="0.35">
      <c r="C97" s="26"/>
      <c r="D97" s="27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</row>
    <row r="98" spans="1:20" x14ac:dyDescent="0.35">
      <c r="B98" s="1" t="s">
        <v>53</v>
      </c>
      <c r="C98" s="1" t="s">
        <v>53</v>
      </c>
      <c r="D98" s="39">
        <f>J65-(J96/K95)</f>
        <v>5.1357004999827458</v>
      </c>
      <c r="E98" s="28"/>
      <c r="F98" s="28"/>
      <c r="G98" s="28"/>
    </row>
    <row r="99" spans="1:20" x14ac:dyDescent="0.35">
      <c r="B99" s="1" t="s">
        <v>124</v>
      </c>
      <c r="C99" s="1" t="s">
        <v>124</v>
      </c>
      <c r="D99" s="40">
        <f>0+NPV(10.5%,F95:T95)</f>
        <v>2589414700.3869123</v>
      </c>
      <c r="E99" s="28"/>
      <c r="F99" s="28"/>
      <c r="G99" s="28"/>
    </row>
    <row r="100" spans="1:20" x14ac:dyDescent="0.35">
      <c r="B100" s="1" t="s">
        <v>125</v>
      </c>
      <c r="C100" s="1" t="s">
        <v>125</v>
      </c>
      <c r="D100" s="40">
        <f>E84+NPV(10.5%,F84:T84)</f>
        <v>3522917522.5338383</v>
      </c>
      <c r="E100" s="28"/>
      <c r="F100" s="28"/>
      <c r="G100" s="28"/>
    </row>
    <row r="101" spans="1:20" x14ac:dyDescent="0.35">
      <c r="B101" s="1" t="s">
        <v>51</v>
      </c>
      <c r="C101" s="1" t="s">
        <v>51</v>
      </c>
      <c r="D101" s="41">
        <f>IRR(E95:T95,10.5%)</f>
        <v>0.1780437344937984</v>
      </c>
      <c r="E101" s="28"/>
      <c r="F101" s="28"/>
      <c r="G101" s="28"/>
    </row>
    <row r="102" spans="1:20" x14ac:dyDescent="0.35">
      <c r="B102" s="1" t="s">
        <v>126</v>
      </c>
      <c r="C102" s="1" t="s">
        <v>126</v>
      </c>
      <c r="D102" s="10">
        <f>D99/D100</f>
        <v>0.73501996110442314</v>
      </c>
      <c r="E102" s="28"/>
      <c r="F102" s="28"/>
      <c r="G102" s="28"/>
    </row>
    <row r="103" spans="1:20" x14ac:dyDescent="0.35">
      <c r="D103" s="42"/>
    </row>
    <row r="104" spans="1:20" x14ac:dyDescent="0.35">
      <c r="D104" s="42"/>
    </row>
    <row r="105" spans="1:20" x14ac:dyDescent="0.35">
      <c r="A105" s="11" t="s">
        <v>59</v>
      </c>
      <c r="B105" s="11" t="s">
        <v>3</v>
      </c>
      <c r="C105" s="11" t="s">
        <v>4</v>
      </c>
      <c r="D105" s="48" t="s">
        <v>127</v>
      </c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</row>
    <row r="106" spans="1:20" x14ac:dyDescent="0.35">
      <c r="A106" s="11"/>
      <c r="B106" s="11"/>
      <c r="C106" s="11"/>
      <c r="D106" s="48"/>
      <c r="E106" s="24">
        <v>0</v>
      </c>
      <c r="F106" s="24">
        <v>1</v>
      </c>
      <c r="G106" s="24">
        <v>2</v>
      </c>
      <c r="H106" s="24">
        <v>3</v>
      </c>
      <c r="I106" s="24">
        <v>4</v>
      </c>
      <c r="J106" s="24">
        <v>5</v>
      </c>
      <c r="K106" s="24">
        <v>6</v>
      </c>
      <c r="L106" s="24">
        <v>7</v>
      </c>
      <c r="M106" s="24">
        <v>8</v>
      </c>
      <c r="N106" s="24">
        <v>9</v>
      </c>
      <c r="O106" s="24">
        <v>10</v>
      </c>
      <c r="P106" s="24">
        <v>11</v>
      </c>
      <c r="Q106" s="24">
        <v>12</v>
      </c>
      <c r="R106" s="24">
        <v>13</v>
      </c>
      <c r="S106" s="24">
        <v>14</v>
      </c>
      <c r="T106" s="24">
        <v>15</v>
      </c>
    </row>
    <row r="107" spans="1:20" x14ac:dyDescent="0.35">
      <c r="A107" s="14"/>
      <c r="B107" s="14" t="s">
        <v>100</v>
      </c>
      <c r="C107" s="14" t="s">
        <v>101</v>
      </c>
      <c r="D107" s="25">
        <f>SUM(E107:H107)</f>
        <v>165.55775203627761</v>
      </c>
      <c r="E107" s="25">
        <f>$D$35*90%</f>
        <v>41.389438009069401</v>
      </c>
      <c r="F107" s="25">
        <f t="shared" ref="F107:T107" si="21">$D$35*90%</f>
        <v>41.389438009069401</v>
      </c>
      <c r="G107" s="25">
        <f t="shared" si="21"/>
        <v>41.389438009069401</v>
      </c>
      <c r="H107" s="25">
        <f t="shared" si="21"/>
        <v>41.389438009069401</v>
      </c>
      <c r="I107" s="25">
        <f t="shared" si="21"/>
        <v>41.389438009069401</v>
      </c>
      <c r="J107" s="25">
        <f t="shared" si="21"/>
        <v>41.389438009069401</v>
      </c>
      <c r="K107" s="25">
        <f t="shared" si="21"/>
        <v>41.389438009069401</v>
      </c>
      <c r="L107" s="25">
        <f t="shared" si="21"/>
        <v>41.389438009069401</v>
      </c>
      <c r="M107" s="25">
        <f t="shared" si="21"/>
        <v>41.389438009069401</v>
      </c>
      <c r="N107" s="25">
        <f t="shared" si="21"/>
        <v>41.389438009069401</v>
      </c>
      <c r="O107" s="25">
        <f t="shared" si="21"/>
        <v>41.389438009069401</v>
      </c>
      <c r="P107" s="25">
        <f t="shared" si="21"/>
        <v>41.389438009069401</v>
      </c>
      <c r="Q107" s="25">
        <f t="shared" si="21"/>
        <v>41.389438009069401</v>
      </c>
      <c r="R107" s="25">
        <f t="shared" si="21"/>
        <v>41.389438009069401</v>
      </c>
      <c r="S107" s="25">
        <f t="shared" si="21"/>
        <v>41.389438009069401</v>
      </c>
      <c r="T107" s="25">
        <f t="shared" si="21"/>
        <v>41.389438009069401</v>
      </c>
    </row>
    <row r="108" spans="1:20" x14ac:dyDescent="0.35">
      <c r="A108" s="1">
        <v>1</v>
      </c>
      <c r="B108" s="1" t="s">
        <v>102</v>
      </c>
      <c r="C108" s="26" t="s">
        <v>2</v>
      </c>
      <c r="D108" s="27">
        <f>SUM(E108:T108)</f>
        <v>206947190.04534701</v>
      </c>
      <c r="E108" s="27">
        <f>(D46*E107*D6)</f>
        <v>206947190.04534701</v>
      </c>
      <c r="F108" s="27"/>
      <c r="G108" s="27"/>
      <c r="H108" s="27"/>
    </row>
    <row r="109" spans="1:20" x14ac:dyDescent="0.35">
      <c r="A109" s="1">
        <v>2</v>
      </c>
      <c r="B109" s="6" t="s">
        <v>103</v>
      </c>
      <c r="C109" s="26" t="s">
        <v>2</v>
      </c>
      <c r="D109" s="27"/>
      <c r="E109" s="28"/>
      <c r="F109" s="28"/>
      <c r="G109" s="28"/>
      <c r="H109" s="28"/>
    </row>
    <row r="110" spans="1:20" x14ac:dyDescent="0.35">
      <c r="B110" s="6" t="s">
        <v>104</v>
      </c>
      <c r="C110" s="26" t="s">
        <v>2</v>
      </c>
      <c r="D110" s="27">
        <f t="shared" ref="D110:D113" si="22">SUM(E110:T110)</f>
        <v>186252471.04081231</v>
      </c>
      <c r="E110" s="27">
        <f>D4*E107</f>
        <v>186252471.04081231</v>
      </c>
      <c r="F110" s="27"/>
      <c r="G110" s="27"/>
      <c r="H110" s="27"/>
    </row>
    <row r="111" spans="1:20" x14ac:dyDescent="0.35">
      <c r="B111" s="6" t="s">
        <v>22</v>
      </c>
      <c r="C111" s="26" t="s">
        <v>2</v>
      </c>
      <c r="D111" s="27">
        <f t="shared" si="22"/>
        <v>517367975.1133675</v>
      </c>
      <c r="E111" s="27">
        <f>1*5000*E107*D9</f>
        <v>517367975.1133675</v>
      </c>
      <c r="F111" s="27"/>
      <c r="G111" s="27"/>
      <c r="H111" s="27"/>
    </row>
    <row r="112" spans="1:20" x14ac:dyDescent="0.35">
      <c r="B112" s="6" t="s">
        <v>29</v>
      </c>
      <c r="C112" s="26" t="s">
        <v>2</v>
      </c>
      <c r="D112" s="27">
        <f t="shared" si="22"/>
        <v>80709404.117685333</v>
      </c>
      <c r="E112" s="27">
        <f>15*D3*E107</f>
        <v>80709404.117685333</v>
      </c>
      <c r="F112" s="27"/>
      <c r="G112" s="27"/>
      <c r="H112" s="27"/>
    </row>
    <row r="113" spans="1:20" x14ac:dyDescent="0.35">
      <c r="A113" s="1">
        <v>3</v>
      </c>
      <c r="B113" s="6" t="s">
        <v>105</v>
      </c>
      <c r="C113" s="26" t="s">
        <v>2</v>
      </c>
      <c r="D113" s="27">
        <f t="shared" si="22"/>
        <v>161418808.23537067</v>
      </c>
      <c r="E113" s="27"/>
      <c r="F113" s="27">
        <f t="shared" ref="F113:T113" si="23">$F$107*2*$D$3</f>
        <v>10761253.882358044</v>
      </c>
      <c r="G113" s="27">
        <f t="shared" si="23"/>
        <v>10761253.882358044</v>
      </c>
      <c r="H113" s="27">
        <f t="shared" si="23"/>
        <v>10761253.882358044</v>
      </c>
      <c r="I113" s="27">
        <f t="shared" si="23"/>
        <v>10761253.882358044</v>
      </c>
      <c r="J113" s="27">
        <f t="shared" si="23"/>
        <v>10761253.882358044</v>
      </c>
      <c r="K113" s="27">
        <f t="shared" si="23"/>
        <v>10761253.882358044</v>
      </c>
      <c r="L113" s="27">
        <f t="shared" si="23"/>
        <v>10761253.882358044</v>
      </c>
      <c r="M113" s="27">
        <f t="shared" si="23"/>
        <v>10761253.882358044</v>
      </c>
      <c r="N113" s="27">
        <f t="shared" si="23"/>
        <v>10761253.882358044</v>
      </c>
      <c r="O113" s="27">
        <f t="shared" si="23"/>
        <v>10761253.882358044</v>
      </c>
      <c r="P113" s="27">
        <f t="shared" si="23"/>
        <v>10761253.882358044</v>
      </c>
      <c r="Q113" s="27">
        <f t="shared" si="23"/>
        <v>10761253.882358044</v>
      </c>
      <c r="R113" s="27">
        <f t="shared" si="23"/>
        <v>10761253.882358044</v>
      </c>
      <c r="S113" s="27">
        <f t="shared" si="23"/>
        <v>10761253.882358044</v>
      </c>
      <c r="T113" s="27">
        <f t="shared" si="23"/>
        <v>10761253.882358044</v>
      </c>
    </row>
    <row r="114" spans="1:20" x14ac:dyDescent="0.35">
      <c r="A114" s="1">
        <v>4</v>
      </c>
      <c r="B114" s="6" t="s">
        <v>106</v>
      </c>
      <c r="C114" s="26" t="s">
        <v>2</v>
      </c>
      <c r="D114" s="27"/>
      <c r="E114" s="28"/>
      <c r="F114" s="28"/>
      <c r="G114" s="28"/>
      <c r="H114" s="28"/>
    </row>
    <row r="115" spans="1:20" x14ac:dyDescent="0.35">
      <c r="B115" s="6" t="s">
        <v>31</v>
      </c>
      <c r="C115" s="26" t="s">
        <v>2</v>
      </c>
      <c r="D115" s="27">
        <f t="shared" ref="D115" si="24">SUM(E115:T115)</f>
        <v>807094041.17685366</v>
      </c>
      <c r="E115" s="28"/>
      <c r="F115" s="28">
        <f>10*F107*$D$3</f>
        <v>53806269.411790222</v>
      </c>
      <c r="G115" s="28">
        <f t="shared" ref="G115:T115" si="25">10*G107*$D$3</f>
        <v>53806269.411790222</v>
      </c>
      <c r="H115" s="28">
        <f t="shared" si="25"/>
        <v>53806269.411790222</v>
      </c>
      <c r="I115" s="28">
        <f t="shared" si="25"/>
        <v>53806269.411790222</v>
      </c>
      <c r="J115" s="28">
        <f t="shared" si="25"/>
        <v>53806269.411790222</v>
      </c>
      <c r="K115" s="28">
        <f t="shared" si="25"/>
        <v>53806269.411790222</v>
      </c>
      <c r="L115" s="28">
        <f t="shared" si="25"/>
        <v>53806269.411790222</v>
      </c>
      <c r="M115" s="28">
        <f t="shared" si="25"/>
        <v>53806269.411790222</v>
      </c>
      <c r="N115" s="28">
        <f t="shared" si="25"/>
        <v>53806269.411790222</v>
      </c>
      <c r="O115" s="28">
        <f t="shared" si="25"/>
        <v>53806269.411790222</v>
      </c>
      <c r="P115" s="28">
        <f t="shared" si="25"/>
        <v>53806269.411790222</v>
      </c>
      <c r="Q115" s="28">
        <f t="shared" si="25"/>
        <v>53806269.411790222</v>
      </c>
      <c r="R115" s="28">
        <f t="shared" si="25"/>
        <v>53806269.411790222</v>
      </c>
      <c r="S115" s="28">
        <f t="shared" si="25"/>
        <v>53806269.411790222</v>
      </c>
      <c r="T115" s="28">
        <f t="shared" si="25"/>
        <v>53806269.411790222</v>
      </c>
    </row>
    <row r="116" spans="1:20" x14ac:dyDescent="0.35">
      <c r="B116" s="6" t="s">
        <v>107</v>
      </c>
      <c r="C116" s="26" t="s">
        <v>2</v>
      </c>
      <c r="D116" s="27">
        <f>SUM(E116:T116)</f>
        <v>10000000</v>
      </c>
      <c r="E116" s="28">
        <f>D14*4</f>
        <v>10000000</v>
      </c>
      <c r="F116" s="28"/>
      <c r="G116" s="28"/>
      <c r="H116" s="28"/>
    </row>
    <row r="117" spans="1:20" x14ac:dyDescent="0.35">
      <c r="B117" s="6" t="s">
        <v>108</v>
      </c>
      <c r="C117" s="26" t="s">
        <v>2</v>
      </c>
      <c r="D117" s="27">
        <f>SUM(E117:T117)</f>
        <v>6208415.7013604101</v>
      </c>
      <c r="E117" s="28"/>
      <c r="F117" s="28">
        <f>10000*F107</f>
        <v>413894.380090694</v>
      </c>
      <c r="G117" s="28">
        <f t="shared" ref="G117:T117" si="26">10000*G107</f>
        <v>413894.380090694</v>
      </c>
      <c r="H117" s="28">
        <f t="shared" si="26"/>
        <v>413894.380090694</v>
      </c>
      <c r="I117" s="28">
        <f t="shared" si="26"/>
        <v>413894.380090694</v>
      </c>
      <c r="J117" s="28">
        <f t="shared" si="26"/>
        <v>413894.380090694</v>
      </c>
      <c r="K117" s="28">
        <f t="shared" si="26"/>
        <v>413894.380090694</v>
      </c>
      <c r="L117" s="28">
        <f t="shared" si="26"/>
        <v>413894.380090694</v>
      </c>
      <c r="M117" s="28">
        <f t="shared" si="26"/>
        <v>413894.380090694</v>
      </c>
      <c r="N117" s="28">
        <f t="shared" si="26"/>
        <v>413894.380090694</v>
      </c>
      <c r="O117" s="28">
        <f t="shared" si="26"/>
        <v>413894.380090694</v>
      </c>
      <c r="P117" s="28">
        <f t="shared" si="26"/>
        <v>413894.380090694</v>
      </c>
      <c r="Q117" s="28">
        <f t="shared" si="26"/>
        <v>413894.380090694</v>
      </c>
      <c r="R117" s="28">
        <f t="shared" si="26"/>
        <v>413894.380090694</v>
      </c>
      <c r="S117" s="28">
        <f t="shared" si="26"/>
        <v>413894.380090694</v>
      </c>
      <c r="T117" s="28">
        <f t="shared" si="26"/>
        <v>413894.380090694</v>
      </c>
    </row>
    <row r="118" spans="1:20" x14ac:dyDescent="0.35">
      <c r="B118" s="43" t="s">
        <v>109</v>
      </c>
      <c r="C118" s="34" t="s">
        <v>2</v>
      </c>
      <c r="D118" s="32">
        <f>SUM(D108:D117)</f>
        <v>1975998305.4307969</v>
      </c>
      <c r="E118" s="32">
        <f>SUM(E108:E117)</f>
        <v>1001277040.3172121</v>
      </c>
      <c r="F118" s="32">
        <f>SUM(F108:F117)</f>
        <v>64981417.674238957</v>
      </c>
      <c r="G118" s="32">
        <f t="shared" ref="G118:T118" si="27">SUM(G108:G117)</f>
        <v>64981417.674238957</v>
      </c>
      <c r="H118" s="32">
        <f t="shared" si="27"/>
        <v>64981417.674238957</v>
      </c>
      <c r="I118" s="32">
        <f t="shared" si="27"/>
        <v>64981417.674238957</v>
      </c>
      <c r="J118" s="32">
        <f t="shared" si="27"/>
        <v>64981417.674238957</v>
      </c>
      <c r="K118" s="32">
        <f t="shared" si="27"/>
        <v>64981417.674238957</v>
      </c>
      <c r="L118" s="32">
        <f t="shared" si="27"/>
        <v>64981417.674238957</v>
      </c>
      <c r="M118" s="32">
        <f t="shared" si="27"/>
        <v>64981417.674238957</v>
      </c>
      <c r="N118" s="32">
        <f t="shared" si="27"/>
        <v>64981417.674238957</v>
      </c>
      <c r="O118" s="32">
        <f t="shared" si="27"/>
        <v>64981417.674238957</v>
      </c>
      <c r="P118" s="32">
        <f t="shared" si="27"/>
        <v>64981417.674238957</v>
      </c>
      <c r="Q118" s="32">
        <f t="shared" si="27"/>
        <v>64981417.674238957</v>
      </c>
      <c r="R118" s="32">
        <f t="shared" si="27"/>
        <v>64981417.674238957</v>
      </c>
      <c r="S118" s="32">
        <f t="shared" si="27"/>
        <v>64981417.674238957</v>
      </c>
      <c r="T118" s="32">
        <f t="shared" si="27"/>
        <v>64981417.674238957</v>
      </c>
    </row>
    <row r="119" spans="1:20" x14ac:dyDescent="0.35">
      <c r="A119" s="1">
        <v>5</v>
      </c>
      <c r="B119" s="6" t="s">
        <v>110</v>
      </c>
      <c r="C119" s="26" t="s">
        <v>2</v>
      </c>
      <c r="D119" s="27"/>
      <c r="E119" s="28"/>
      <c r="F119" s="28"/>
      <c r="G119" s="28"/>
      <c r="H119" s="28"/>
    </row>
    <row r="120" spans="1:20" x14ac:dyDescent="0.35">
      <c r="B120" s="1" t="s">
        <v>34</v>
      </c>
      <c r="C120" s="26" t="s">
        <v>2</v>
      </c>
      <c r="D120" s="27">
        <f>SUM(E120:T120)</f>
        <v>1082900000</v>
      </c>
      <c r="E120" s="28">
        <f>D18</f>
        <v>1082900000</v>
      </c>
      <c r="F120" s="28"/>
      <c r="G120" s="28"/>
      <c r="H120" s="28"/>
    </row>
    <row r="121" spans="1:20" x14ac:dyDescent="0.35">
      <c r="B121" s="6" t="s">
        <v>38</v>
      </c>
      <c r="C121" s="26" t="s">
        <v>2</v>
      </c>
      <c r="D121" s="27">
        <f t="shared" ref="D121:D123" si="28">SUM(E121:T121)</f>
        <v>324870000</v>
      </c>
      <c r="E121" s="28"/>
      <c r="F121" s="28">
        <f>2%*$E$120</f>
        <v>21658000</v>
      </c>
      <c r="G121" s="28">
        <f t="shared" ref="G121:T121" si="29">2%*$E$79</f>
        <v>21658000</v>
      </c>
      <c r="H121" s="28">
        <f t="shared" si="29"/>
        <v>21658000</v>
      </c>
      <c r="I121" s="28">
        <f t="shared" si="29"/>
        <v>21658000</v>
      </c>
      <c r="J121" s="28">
        <f t="shared" si="29"/>
        <v>21658000</v>
      </c>
      <c r="K121" s="28">
        <f t="shared" si="29"/>
        <v>21658000</v>
      </c>
      <c r="L121" s="28">
        <f t="shared" si="29"/>
        <v>21658000</v>
      </c>
      <c r="M121" s="28">
        <f t="shared" si="29"/>
        <v>21658000</v>
      </c>
      <c r="N121" s="28">
        <f t="shared" si="29"/>
        <v>21658000</v>
      </c>
      <c r="O121" s="28">
        <f t="shared" si="29"/>
        <v>21658000</v>
      </c>
      <c r="P121" s="28">
        <f t="shared" si="29"/>
        <v>21658000</v>
      </c>
      <c r="Q121" s="28">
        <f t="shared" si="29"/>
        <v>21658000</v>
      </c>
      <c r="R121" s="28">
        <f t="shared" si="29"/>
        <v>21658000</v>
      </c>
      <c r="S121" s="28">
        <f t="shared" si="29"/>
        <v>21658000</v>
      </c>
      <c r="T121" s="28">
        <f t="shared" si="29"/>
        <v>21658000</v>
      </c>
    </row>
    <row r="122" spans="1:20" x14ac:dyDescent="0.35">
      <c r="B122" s="6" t="s">
        <v>111</v>
      </c>
      <c r="C122" s="26"/>
      <c r="D122" s="27">
        <f t="shared" si="28"/>
        <v>794586671.99999988</v>
      </c>
      <c r="E122" s="28"/>
      <c r="F122" s="28">
        <f t="shared" ref="F122:T122" si="30">$D$58*22*$D$21*$D$56</f>
        <v>52972444.799999997</v>
      </c>
      <c r="G122" s="28">
        <f t="shared" si="30"/>
        <v>52972444.799999997</v>
      </c>
      <c r="H122" s="28">
        <f t="shared" si="30"/>
        <v>52972444.799999997</v>
      </c>
      <c r="I122" s="28">
        <f t="shared" si="30"/>
        <v>52972444.799999997</v>
      </c>
      <c r="J122" s="28">
        <f t="shared" si="30"/>
        <v>52972444.799999997</v>
      </c>
      <c r="K122" s="28">
        <f t="shared" si="30"/>
        <v>52972444.799999997</v>
      </c>
      <c r="L122" s="28">
        <f t="shared" si="30"/>
        <v>52972444.799999997</v>
      </c>
      <c r="M122" s="28">
        <f t="shared" si="30"/>
        <v>52972444.799999997</v>
      </c>
      <c r="N122" s="28">
        <f t="shared" si="30"/>
        <v>52972444.799999997</v>
      </c>
      <c r="O122" s="28">
        <f t="shared" si="30"/>
        <v>52972444.799999997</v>
      </c>
      <c r="P122" s="28">
        <f t="shared" si="30"/>
        <v>52972444.799999997</v>
      </c>
      <c r="Q122" s="28">
        <f t="shared" si="30"/>
        <v>52972444.799999997</v>
      </c>
      <c r="R122" s="28">
        <f t="shared" si="30"/>
        <v>52972444.799999997</v>
      </c>
      <c r="S122" s="28">
        <f t="shared" si="30"/>
        <v>52972444.799999997</v>
      </c>
      <c r="T122" s="28">
        <f t="shared" si="30"/>
        <v>52972444.799999997</v>
      </c>
    </row>
    <row r="123" spans="1:20" x14ac:dyDescent="0.35">
      <c r="B123" s="6" t="s">
        <v>112</v>
      </c>
      <c r="C123" s="26" t="s">
        <v>2</v>
      </c>
      <c r="D123" s="27">
        <f t="shared" si="28"/>
        <v>1404000000</v>
      </c>
      <c r="E123" s="28"/>
      <c r="F123" s="28">
        <f>(3*$D$3)*20*12</f>
        <v>93600000</v>
      </c>
      <c r="G123" s="28">
        <f t="shared" ref="G123:T123" si="31">(3*$D$3)*20*12</f>
        <v>93600000</v>
      </c>
      <c r="H123" s="28">
        <f t="shared" si="31"/>
        <v>93600000</v>
      </c>
      <c r="I123" s="28">
        <f t="shared" si="31"/>
        <v>93600000</v>
      </c>
      <c r="J123" s="28">
        <f t="shared" si="31"/>
        <v>93600000</v>
      </c>
      <c r="K123" s="28">
        <f t="shared" si="31"/>
        <v>93600000</v>
      </c>
      <c r="L123" s="28">
        <f t="shared" si="31"/>
        <v>93600000</v>
      </c>
      <c r="M123" s="28">
        <f t="shared" si="31"/>
        <v>93600000</v>
      </c>
      <c r="N123" s="28">
        <f t="shared" si="31"/>
        <v>93600000</v>
      </c>
      <c r="O123" s="28">
        <f t="shared" si="31"/>
        <v>93600000</v>
      </c>
      <c r="P123" s="28">
        <f t="shared" si="31"/>
        <v>93600000</v>
      </c>
      <c r="Q123" s="28">
        <f t="shared" si="31"/>
        <v>93600000</v>
      </c>
      <c r="R123" s="28">
        <f t="shared" si="31"/>
        <v>93600000</v>
      </c>
      <c r="S123" s="28">
        <f t="shared" si="31"/>
        <v>93600000</v>
      </c>
      <c r="T123" s="28">
        <f t="shared" si="31"/>
        <v>93600000</v>
      </c>
    </row>
    <row r="124" spans="1:20" x14ac:dyDescent="0.35">
      <c r="B124" s="43" t="s">
        <v>113</v>
      </c>
      <c r="C124" s="34" t="s">
        <v>2</v>
      </c>
      <c r="D124" s="32">
        <f>SUM(D119:D123)</f>
        <v>3606356672</v>
      </c>
      <c r="E124" s="32">
        <f>SUM(E119:E123)</f>
        <v>1082900000</v>
      </c>
      <c r="F124" s="32">
        <f>SUM(F119:F123)</f>
        <v>168230444.80000001</v>
      </c>
      <c r="G124" s="32">
        <f t="shared" ref="G124:T124" si="32">SUM(G119:G123)</f>
        <v>168230444.80000001</v>
      </c>
      <c r="H124" s="32">
        <f t="shared" si="32"/>
        <v>168230444.80000001</v>
      </c>
      <c r="I124" s="32">
        <f t="shared" si="32"/>
        <v>168230444.80000001</v>
      </c>
      <c r="J124" s="32">
        <f t="shared" si="32"/>
        <v>168230444.80000001</v>
      </c>
      <c r="K124" s="32">
        <f t="shared" si="32"/>
        <v>168230444.80000001</v>
      </c>
      <c r="L124" s="32">
        <f t="shared" si="32"/>
        <v>168230444.80000001</v>
      </c>
      <c r="M124" s="32">
        <f t="shared" si="32"/>
        <v>168230444.80000001</v>
      </c>
      <c r="N124" s="32">
        <f t="shared" si="32"/>
        <v>168230444.80000001</v>
      </c>
      <c r="O124" s="32">
        <f t="shared" si="32"/>
        <v>168230444.80000001</v>
      </c>
      <c r="P124" s="32">
        <f t="shared" si="32"/>
        <v>168230444.80000001</v>
      </c>
      <c r="Q124" s="32">
        <f t="shared" si="32"/>
        <v>168230444.80000001</v>
      </c>
      <c r="R124" s="32">
        <f t="shared" si="32"/>
        <v>168230444.80000001</v>
      </c>
      <c r="S124" s="32">
        <f t="shared" si="32"/>
        <v>168230444.80000001</v>
      </c>
      <c r="T124" s="32">
        <f t="shared" si="32"/>
        <v>168230444.80000001</v>
      </c>
    </row>
    <row r="125" spans="1:20" x14ac:dyDescent="0.35">
      <c r="B125" s="43" t="s">
        <v>127</v>
      </c>
      <c r="C125" s="34"/>
      <c r="D125" s="32">
        <f>D124+D118</f>
        <v>5582354977.4307966</v>
      </c>
      <c r="E125" s="32">
        <f t="shared" ref="E125:T125" si="33">E124+E118</f>
        <v>2084177040.3172121</v>
      </c>
      <c r="F125" s="32">
        <f t="shared" si="33"/>
        <v>233211862.47423896</v>
      </c>
      <c r="G125" s="32">
        <f t="shared" si="33"/>
        <v>233211862.47423896</v>
      </c>
      <c r="H125" s="32">
        <f t="shared" si="33"/>
        <v>233211862.47423896</v>
      </c>
      <c r="I125" s="32">
        <f t="shared" si="33"/>
        <v>233211862.47423896</v>
      </c>
      <c r="J125" s="32">
        <f t="shared" si="33"/>
        <v>233211862.47423896</v>
      </c>
      <c r="K125" s="32">
        <f t="shared" si="33"/>
        <v>233211862.47423896</v>
      </c>
      <c r="L125" s="32">
        <f t="shared" si="33"/>
        <v>233211862.47423896</v>
      </c>
      <c r="M125" s="32">
        <f t="shared" si="33"/>
        <v>233211862.47423896</v>
      </c>
      <c r="N125" s="32">
        <f t="shared" si="33"/>
        <v>233211862.47423896</v>
      </c>
      <c r="O125" s="32">
        <f t="shared" si="33"/>
        <v>233211862.47423896</v>
      </c>
      <c r="P125" s="32">
        <f t="shared" si="33"/>
        <v>233211862.47423896</v>
      </c>
      <c r="Q125" s="32">
        <f t="shared" si="33"/>
        <v>233211862.47423896</v>
      </c>
      <c r="R125" s="32">
        <f t="shared" si="33"/>
        <v>233211862.47423896</v>
      </c>
      <c r="S125" s="32">
        <f t="shared" si="33"/>
        <v>233211862.47423896</v>
      </c>
      <c r="T125" s="32">
        <f t="shared" si="33"/>
        <v>233211862.47423896</v>
      </c>
    </row>
    <row r="126" spans="1:20" x14ac:dyDescent="0.35">
      <c r="B126" s="6" t="s">
        <v>128</v>
      </c>
      <c r="C126" s="44" t="s">
        <v>2</v>
      </c>
      <c r="D126" s="27">
        <f>SUM(E126:T126)</f>
        <v>1139490000</v>
      </c>
      <c r="E126" s="45"/>
      <c r="F126" s="45">
        <v>75966000</v>
      </c>
      <c r="G126" s="45">
        <v>75966000</v>
      </c>
      <c r="H126" s="45">
        <v>75966000</v>
      </c>
      <c r="I126" s="45">
        <v>75966000</v>
      </c>
      <c r="J126" s="45">
        <v>75966000</v>
      </c>
      <c r="K126" s="45">
        <v>75966000</v>
      </c>
      <c r="L126" s="45">
        <v>75966000</v>
      </c>
      <c r="M126" s="45">
        <v>75966000</v>
      </c>
      <c r="N126" s="45">
        <v>75966000</v>
      </c>
      <c r="O126" s="45">
        <v>75966000</v>
      </c>
      <c r="P126" s="45">
        <v>75966000</v>
      </c>
      <c r="Q126" s="45">
        <v>75966000</v>
      </c>
      <c r="R126" s="45">
        <v>75966000</v>
      </c>
      <c r="S126" s="45">
        <v>75966000</v>
      </c>
      <c r="T126" s="45">
        <v>75966000</v>
      </c>
    </row>
    <row r="127" spans="1:20" x14ac:dyDescent="0.35">
      <c r="B127" s="6" t="s">
        <v>129</v>
      </c>
      <c r="C127" s="44" t="s">
        <v>2</v>
      </c>
      <c r="D127" s="27">
        <f>SUM(E127:T127)</f>
        <v>239130000</v>
      </c>
      <c r="E127" s="27"/>
      <c r="F127" s="46">
        <f>20942000-5000000</f>
        <v>15942000</v>
      </c>
      <c r="G127" s="46">
        <f t="shared" ref="G127:T127" si="34">20942000-5000000</f>
        <v>15942000</v>
      </c>
      <c r="H127" s="46">
        <f t="shared" si="34"/>
        <v>15942000</v>
      </c>
      <c r="I127" s="46">
        <f t="shared" si="34"/>
        <v>15942000</v>
      </c>
      <c r="J127" s="46">
        <f t="shared" si="34"/>
        <v>15942000</v>
      </c>
      <c r="K127" s="46">
        <f t="shared" si="34"/>
        <v>15942000</v>
      </c>
      <c r="L127" s="46">
        <f t="shared" si="34"/>
        <v>15942000</v>
      </c>
      <c r="M127" s="46">
        <f t="shared" si="34"/>
        <v>15942000</v>
      </c>
      <c r="N127" s="46">
        <f t="shared" si="34"/>
        <v>15942000</v>
      </c>
      <c r="O127" s="46">
        <f t="shared" si="34"/>
        <v>15942000</v>
      </c>
      <c r="P127" s="46">
        <f t="shared" si="34"/>
        <v>15942000</v>
      </c>
      <c r="Q127" s="46">
        <f t="shared" si="34"/>
        <v>15942000</v>
      </c>
      <c r="R127" s="46">
        <f t="shared" si="34"/>
        <v>15942000</v>
      </c>
      <c r="S127" s="46">
        <f t="shared" si="34"/>
        <v>15942000</v>
      </c>
      <c r="T127" s="46">
        <f t="shared" si="34"/>
        <v>15942000</v>
      </c>
    </row>
    <row r="128" spans="1:20" x14ac:dyDescent="0.35">
      <c r="B128" s="43" t="s">
        <v>130</v>
      </c>
      <c r="C128" s="34" t="s">
        <v>2</v>
      </c>
      <c r="D128" s="32">
        <f t="shared" ref="D128:T128" si="35">SUM(D126:D127)</f>
        <v>1378620000</v>
      </c>
      <c r="E128" s="32">
        <f t="shared" si="35"/>
        <v>0</v>
      </c>
      <c r="F128" s="32">
        <f t="shared" si="35"/>
        <v>91908000</v>
      </c>
      <c r="G128" s="32">
        <f t="shared" si="35"/>
        <v>91908000</v>
      </c>
      <c r="H128" s="32">
        <f t="shared" si="35"/>
        <v>91908000</v>
      </c>
      <c r="I128" s="32">
        <f t="shared" si="35"/>
        <v>91908000</v>
      </c>
      <c r="J128" s="32">
        <f t="shared" si="35"/>
        <v>91908000</v>
      </c>
      <c r="K128" s="32">
        <f t="shared" si="35"/>
        <v>91908000</v>
      </c>
      <c r="L128" s="32">
        <f t="shared" si="35"/>
        <v>91908000</v>
      </c>
      <c r="M128" s="32">
        <f t="shared" si="35"/>
        <v>91908000</v>
      </c>
      <c r="N128" s="32">
        <f t="shared" si="35"/>
        <v>91908000</v>
      </c>
      <c r="O128" s="32">
        <f t="shared" si="35"/>
        <v>91908000</v>
      </c>
      <c r="P128" s="32">
        <f t="shared" si="35"/>
        <v>91908000</v>
      </c>
      <c r="Q128" s="32">
        <f t="shared" si="35"/>
        <v>91908000</v>
      </c>
      <c r="R128" s="32">
        <f t="shared" si="35"/>
        <v>91908000</v>
      </c>
      <c r="S128" s="32">
        <f t="shared" si="35"/>
        <v>91908000</v>
      </c>
      <c r="T128" s="32">
        <f t="shared" si="35"/>
        <v>91908000</v>
      </c>
    </row>
    <row r="129" spans="1:20" x14ac:dyDescent="0.35">
      <c r="B129" s="43"/>
      <c r="C129" s="34"/>
      <c r="D129" s="32">
        <f t="shared" ref="D129:T129" si="36">D128+D125</f>
        <v>6960974977.4307966</v>
      </c>
      <c r="E129" s="32">
        <f t="shared" si="36"/>
        <v>2084177040.3172121</v>
      </c>
      <c r="F129" s="32">
        <f t="shared" si="36"/>
        <v>325119862.47423899</v>
      </c>
      <c r="G129" s="32">
        <f t="shared" si="36"/>
        <v>325119862.47423899</v>
      </c>
      <c r="H129" s="32">
        <f t="shared" si="36"/>
        <v>325119862.47423899</v>
      </c>
      <c r="I129" s="32">
        <f t="shared" si="36"/>
        <v>325119862.47423899</v>
      </c>
      <c r="J129" s="32">
        <f t="shared" si="36"/>
        <v>325119862.47423899</v>
      </c>
      <c r="K129" s="32">
        <f t="shared" si="36"/>
        <v>325119862.47423899</v>
      </c>
      <c r="L129" s="32">
        <f t="shared" si="36"/>
        <v>325119862.47423899</v>
      </c>
      <c r="M129" s="32">
        <f t="shared" si="36"/>
        <v>325119862.47423899</v>
      </c>
      <c r="N129" s="32">
        <f t="shared" si="36"/>
        <v>325119862.47423899</v>
      </c>
      <c r="O129" s="32">
        <f t="shared" si="36"/>
        <v>325119862.47423899</v>
      </c>
      <c r="P129" s="32">
        <f t="shared" si="36"/>
        <v>325119862.47423899</v>
      </c>
      <c r="Q129" s="32">
        <f t="shared" si="36"/>
        <v>325119862.47423899</v>
      </c>
      <c r="R129" s="32">
        <f t="shared" si="36"/>
        <v>325119862.47423899</v>
      </c>
      <c r="S129" s="32">
        <f t="shared" si="36"/>
        <v>325119862.47423899</v>
      </c>
      <c r="T129" s="32">
        <f t="shared" si="36"/>
        <v>325119862.47423899</v>
      </c>
    </row>
    <row r="130" spans="1:20" x14ac:dyDescent="0.35">
      <c r="A130" s="1">
        <v>6</v>
      </c>
      <c r="B130" s="6" t="s">
        <v>115</v>
      </c>
      <c r="C130" s="26" t="s">
        <v>2</v>
      </c>
      <c r="D130" s="28"/>
      <c r="E130" s="27"/>
      <c r="F130" s="27"/>
      <c r="G130" s="27"/>
      <c r="H130" s="27"/>
    </row>
    <row r="131" spans="1:20" x14ac:dyDescent="0.35">
      <c r="B131" s="6" t="s">
        <v>131</v>
      </c>
      <c r="C131" s="44" t="s">
        <v>2</v>
      </c>
      <c r="D131" s="27">
        <f>SUM(F131:T131)</f>
        <v>12405796819.547653</v>
      </c>
      <c r="E131" s="28"/>
      <c r="F131" s="28">
        <f t="shared" ref="F131:T131" si="37">$F$107*($E$26*$D$50*80%)*2</f>
        <v>827053121.30317688</v>
      </c>
      <c r="G131" s="28">
        <f t="shared" si="37"/>
        <v>827053121.30317688</v>
      </c>
      <c r="H131" s="28">
        <f t="shared" si="37"/>
        <v>827053121.30317688</v>
      </c>
      <c r="I131" s="28">
        <f t="shared" si="37"/>
        <v>827053121.30317688</v>
      </c>
      <c r="J131" s="28">
        <f t="shared" si="37"/>
        <v>827053121.30317688</v>
      </c>
      <c r="K131" s="28">
        <f t="shared" si="37"/>
        <v>827053121.30317688</v>
      </c>
      <c r="L131" s="28">
        <f t="shared" si="37"/>
        <v>827053121.30317688</v>
      </c>
      <c r="M131" s="28">
        <f t="shared" si="37"/>
        <v>827053121.30317688</v>
      </c>
      <c r="N131" s="28">
        <f t="shared" si="37"/>
        <v>827053121.30317688</v>
      </c>
      <c r="O131" s="28">
        <f t="shared" si="37"/>
        <v>827053121.30317688</v>
      </c>
      <c r="P131" s="28">
        <f t="shared" si="37"/>
        <v>827053121.30317688</v>
      </c>
      <c r="Q131" s="28">
        <f t="shared" si="37"/>
        <v>827053121.30317688</v>
      </c>
      <c r="R131" s="28">
        <f t="shared" si="37"/>
        <v>827053121.30317688</v>
      </c>
      <c r="S131" s="28">
        <f t="shared" si="37"/>
        <v>827053121.30317688</v>
      </c>
      <c r="T131" s="28">
        <f t="shared" si="37"/>
        <v>827053121.30317688</v>
      </c>
    </row>
    <row r="132" spans="1:20" x14ac:dyDescent="0.35">
      <c r="B132" s="1" t="s">
        <v>132</v>
      </c>
      <c r="C132" s="26" t="s">
        <v>2</v>
      </c>
      <c r="D132" s="27">
        <f>SUM(F132:T132)</f>
        <v>2304000000</v>
      </c>
      <c r="E132" s="28"/>
      <c r="F132" s="28">
        <f t="shared" ref="F132:T132" si="38">$D$52*$D$27</f>
        <v>153600000</v>
      </c>
      <c r="G132" s="28">
        <f t="shared" si="38"/>
        <v>153600000</v>
      </c>
      <c r="H132" s="28">
        <f t="shared" si="38"/>
        <v>153600000</v>
      </c>
      <c r="I132" s="28">
        <f t="shared" si="38"/>
        <v>153600000</v>
      </c>
      <c r="J132" s="28">
        <f t="shared" si="38"/>
        <v>153600000</v>
      </c>
      <c r="K132" s="28">
        <f t="shared" si="38"/>
        <v>153600000</v>
      </c>
      <c r="L132" s="28">
        <f t="shared" si="38"/>
        <v>153600000</v>
      </c>
      <c r="M132" s="28">
        <f t="shared" si="38"/>
        <v>153600000</v>
      </c>
      <c r="N132" s="28">
        <f t="shared" si="38"/>
        <v>153600000</v>
      </c>
      <c r="O132" s="28">
        <f t="shared" si="38"/>
        <v>153600000</v>
      </c>
      <c r="P132" s="28">
        <f t="shared" si="38"/>
        <v>153600000</v>
      </c>
      <c r="Q132" s="28">
        <f t="shared" si="38"/>
        <v>153600000</v>
      </c>
      <c r="R132" s="28">
        <f t="shared" si="38"/>
        <v>153600000</v>
      </c>
      <c r="S132" s="28">
        <f t="shared" si="38"/>
        <v>153600000</v>
      </c>
      <c r="T132" s="28">
        <f t="shared" si="38"/>
        <v>153600000</v>
      </c>
    </row>
    <row r="133" spans="1:20" ht="16.5" customHeight="1" x14ac:dyDescent="0.35">
      <c r="B133" s="47" t="s">
        <v>133</v>
      </c>
      <c r="C133" s="36" t="s">
        <v>2</v>
      </c>
      <c r="D133" s="37">
        <f>SUM(E133:T133)</f>
        <v>14709796819.547653</v>
      </c>
      <c r="E133" s="38"/>
      <c r="F133" s="38">
        <f>F131+F132</f>
        <v>980653121.30317688</v>
      </c>
      <c r="G133" s="38">
        <f t="shared" ref="G133:T133" si="39">G131+G132</f>
        <v>980653121.30317688</v>
      </c>
      <c r="H133" s="38">
        <f t="shared" si="39"/>
        <v>980653121.30317688</v>
      </c>
      <c r="I133" s="38">
        <f t="shared" si="39"/>
        <v>980653121.30317688</v>
      </c>
      <c r="J133" s="38">
        <f t="shared" si="39"/>
        <v>980653121.30317688</v>
      </c>
      <c r="K133" s="38">
        <f t="shared" si="39"/>
        <v>980653121.30317688</v>
      </c>
      <c r="L133" s="38">
        <f t="shared" si="39"/>
        <v>980653121.30317688</v>
      </c>
      <c r="M133" s="38">
        <f t="shared" si="39"/>
        <v>980653121.30317688</v>
      </c>
      <c r="N133" s="38">
        <f>N131+N132</f>
        <v>980653121.30317688</v>
      </c>
      <c r="O133" s="38">
        <f t="shared" si="39"/>
        <v>980653121.30317688</v>
      </c>
      <c r="P133" s="38">
        <f t="shared" si="39"/>
        <v>980653121.30317688</v>
      </c>
      <c r="Q133" s="38">
        <f t="shared" si="39"/>
        <v>980653121.30317688</v>
      </c>
      <c r="R133" s="38">
        <f t="shared" si="39"/>
        <v>980653121.30317688</v>
      </c>
      <c r="S133" s="38">
        <f t="shared" si="39"/>
        <v>980653121.30317688</v>
      </c>
      <c r="T133" s="38">
        <f t="shared" si="39"/>
        <v>980653121.30317688</v>
      </c>
    </row>
    <row r="134" spans="1:20" x14ac:dyDescent="0.35">
      <c r="A134" s="1">
        <v>7</v>
      </c>
      <c r="B134" s="1" t="s">
        <v>117</v>
      </c>
      <c r="C134" s="26" t="s">
        <v>2</v>
      </c>
      <c r="D134" s="27">
        <f>SUM(E134:T134)</f>
        <v>7748821842.1168547</v>
      </c>
      <c r="E134" s="28">
        <f>E133-E129</f>
        <v>-2084177040.3172121</v>
      </c>
      <c r="F134" s="28">
        <f>F133-F129</f>
        <v>655533258.82893789</v>
      </c>
      <c r="G134" s="28">
        <f t="shared" ref="G134:T134" si="40">G133-G129</f>
        <v>655533258.82893789</v>
      </c>
      <c r="H134" s="28">
        <f t="shared" si="40"/>
        <v>655533258.82893789</v>
      </c>
      <c r="I134" s="28">
        <f t="shared" si="40"/>
        <v>655533258.82893789</v>
      </c>
      <c r="J134" s="28">
        <f t="shared" si="40"/>
        <v>655533258.82893789</v>
      </c>
      <c r="K134" s="28">
        <f t="shared" si="40"/>
        <v>655533258.82893789</v>
      </c>
      <c r="L134" s="28">
        <f t="shared" si="40"/>
        <v>655533258.82893789</v>
      </c>
      <c r="M134" s="28">
        <f t="shared" si="40"/>
        <v>655533258.82893789</v>
      </c>
      <c r="N134" s="28">
        <f t="shared" si="40"/>
        <v>655533258.82893789</v>
      </c>
      <c r="O134" s="28">
        <f t="shared" si="40"/>
        <v>655533258.82893789</v>
      </c>
      <c r="P134" s="28">
        <f t="shared" si="40"/>
        <v>655533258.82893789</v>
      </c>
      <c r="Q134" s="28">
        <f t="shared" si="40"/>
        <v>655533258.82893789</v>
      </c>
      <c r="R134" s="28">
        <f t="shared" si="40"/>
        <v>655533258.82893789</v>
      </c>
      <c r="S134" s="28">
        <f t="shared" si="40"/>
        <v>655533258.82893789</v>
      </c>
      <c r="T134" s="28">
        <f t="shared" si="40"/>
        <v>655533258.82893789</v>
      </c>
    </row>
    <row r="135" spans="1:20" x14ac:dyDescent="0.35">
      <c r="B135" s="1" t="s">
        <v>134</v>
      </c>
      <c r="C135" s="26"/>
      <c r="D135" s="27">
        <f>SUM(E135:T135)</f>
        <v>68234418.421168566</v>
      </c>
      <c r="E135" s="28">
        <f>1%*(E131-E125)</f>
        <v>-20841770.40317212</v>
      </c>
      <c r="F135" s="28">
        <f>1%*(F131-F125)</f>
        <v>5938412.5882893791</v>
      </c>
      <c r="G135" s="28">
        <f t="shared" ref="G135:T135" si="41">1%*(G131-G125)</f>
        <v>5938412.5882893791</v>
      </c>
      <c r="H135" s="28">
        <f t="shared" si="41"/>
        <v>5938412.5882893791</v>
      </c>
      <c r="I135" s="28">
        <f t="shared" si="41"/>
        <v>5938412.5882893791</v>
      </c>
      <c r="J135" s="28">
        <f t="shared" si="41"/>
        <v>5938412.5882893791</v>
      </c>
      <c r="K135" s="28">
        <f t="shared" si="41"/>
        <v>5938412.5882893791</v>
      </c>
      <c r="L135" s="28">
        <f t="shared" si="41"/>
        <v>5938412.5882893791</v>
      </c>
      <c r="M135" s="28">
        <f t="shared" si="41"/>
        <v>5938412.5882893791</v>
      </c>
      <c r="N135" s="28">
        <f t="shared" si="41"/>
        <v>5938412.5882893791</v>
      </c>
      <c r="O135" s="28">
        <f t="shared" si="41"/>
        <v>5938412.5882893791</v>
      </c>
      <c r="P135" s="28">
        <f t="shared" si="41"/>
        <v>5938412.5882893791</v>
      </c>
      <c r="Q135" s="28">
        <f t="shared" si="41"/>
        <v>5938412.5882893791</v>
      </c>
      <c r="R135" s="28">
        <f t="shared" si="41"/>
        <v>5938412.5882893791</v>
      </c>
      <c r="S135" s="28">
        <f t="shared" si="41"/>
        <v>5938412.5882893791</v>
      </c>
      <c r="T135" s="28">
        <f t="shared" si="41"/>
        <v>5938412.5882893791</v>
      </c>
    </row>
    <row r="136" spans="1:20" x14ac:dyDescent="0.35">
      <c r="B136" s="1" t="s">
        <v>135</v>
      </c>
      <c r="C136" s="26" t="s">
        <v>2</v>
      </c>
      <c r="D136" s="27">
        <f>SUM(E136:T136)</f>
        <v>77488218.421168566</v>
      </c>
      <c r="E136" s="28">
        <f>1%*E134</f>
        <v>-20841770.40317212</v>
      </c>
      <c r="F136" s="28">
        <f>1%*F134</f>
        <v>6555332.5882893791</v>
      </c>
      <c r="G136" s="28">
        <f t="shared" ref="G136:T136" si="42">1%*G134</f>
        <v>6555332.5882893791</v>
      </c>
      <c r="H136" s="28">
        <f t="shared" si="42"/>
        <v>6555332.5882893791</v>
      </c>
      <c r="I136" s="28">
        <f t="shared" si="42"/>
        <v>6555332.5882893791</v>
      </c>
      <c r="J136" s="28">
        <f t="shared" si="42"/>
        <v>6555332.5882893791</v>
      </c>
      <c r="K136" s="28">
        <f t="shared" si="42"/>
        <v>6555332.5882893791</v>
      </c>
      <c r="L136" s="28">
        <f t="shared" si="42"/>
        <v>6555332.5882893791</v>
      </c>
      <c r="M136" s="28">
        <f t="shared" si="42"/>
        <v>6555332.5882893791</v>
      </c>
      <c r="N136" s="28">
        <f t="shared" si="42"/>
        <v>6555332.5882893791</v>
      </c>
      <c r="O136" s="28">
        <f t="shared" si="42"/>
        <v>6555332.5882893791</v>
      </c>
      <c r="P136" s="28">
        <f t="shared" si="42"/>
        <v>6555332.5882893791</v>
      </c>
      <c r="Q136" s="28">
        <f t="shared" si="42"/>
        <v>6555332.5882893791</v>
      </c>
      <c r="R136" s="28">
        <f t="shared" si="42"/>
        <v>6555332.5882893791</v>
      </c>
      <c r="S136" s="28">
        <f t="shared" si="42"/>
        <v>6555332.5882893791</v>
      </c>
      <c r="T136" s="28">
        <f t="shared" si="42"/>
        <v>6555332.5882893791</v>
      </c>
    </row>
    <row r="137" spans="1:20" x14ac:dyDescent="0.35">
      <c r="C137" s="26"/>
      <c r="D137" s="27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</row>
    <row r="138" spans="1:20" x14ac:dyDescent="0.35">
      <c r="A138" s="1">
        <v>8</v>
      </c>
      <c r="B138" s="1" t="s">
        <v>119</v>
      </c>
      <c r="C138" s="26" t="s">
        <v>2</v>
      </c>
      <c r="D138" s="27"/>
      <c r="E138" s="28"/>
    </row>
    <row r="139" spans="1:20" x14ac:dyDescent="0.35">
      <c r="A139" s="41"/>
      <c r="B139" s="1" t="s">
        <v>120</v>
      </c>
      <c r="C139" s="26" t="s">
        <v>2</v>
      </c>
      <c r="D139" s="27">
        <f t="shared" ref="D139:D156" si="43">SUM(E139:T139)</f>
        <v>740170590.18432462</v>
      </c>
      <c r="E139" s="28"/>
      <c r="F139" s="28">
        <f>$E$124/15</f>
        <v>72193333.333333328</v>
      </c>
      <c r="G139" s="28">
        <f t="shared" ref="G139:T139" si="44">$E$77/15</f>
        <v>47712661.203642227</v>
      </c>
      <c r="H139" s="28">
        <f t="shared" si="44"/>
        <v>47712661.203642227</v>
      </c>
      <c r="I139" s="28">
        <f t="shared" si="44"/>
        <v>47712661.203642227</v>
      </c>
      <c r="J139" s="28">
        <f t="shared" si="44"/>
        <v>47712661.203642227</v>
      </c>
      <c r="K139" s="28">
        <f t="shared" si="44"/>
        <v>47712661.203642227</v>
      </c>
      <c r="L139" s="28">
        <f t="shared" si="44"/>
        <v>47712661.203642227</v>
      </c>
      <c r="M139" s="28">
        <f t="shared" si="44"/>
        <v>47712661.203642227</v>
      </c>
      <c r="N139" s="28">
        <f t="shared" si="44"/>
        <v>47712661.203642227</v>
      </c>
      <c r="O139" s="28">
        <f t="shared" si="44"/>
        <v>47712661.203642227</v>
      </c>
      <c r="P139" s="28">
        <f t="shared" si="44"/>
        <v>47712661.203642227</v>
      </c>
      <c r="Q139" s="28">
        <f t="shared" si="44"/>
        <v>47712661.203642227</v>
      </c>
      <c r="R139" s="28">
        <f t="shared" si="44"/>
        <v>47712661.203642227</v>
      </c>
      <c r="S139" s="28">
        <f t="shared" si="44"/>
        <v>47712661.203642227</v>
      </c>
      <c r="T139" s="28">
        <f t="shared" si="44"/>
        <v>47712661.203642227</v>
      </c>
    </row>
    <row r="140" spans="1:20" x14ac:dyDescent="0.35">
      <c r="B140" s="1" t="s">
        <v>121</v>
      </c>
      <c r="C140" s="26"/>
      <c r="D140" s="27">
        <f t="shared" si="43"/>
        <v>1082900000.0000002</v>
      </c>
      <c r="E140" s="28"/>
      <c r="F140" s="28">
        <f>$E$83/15</f>
        <v>72193333.333333328</v>
      </c>
      <c r="G140" s="28">
        <f t="shared" ref="G140:T140" si="45">$E$83/15</f>
        <v>72193333.333333328</v>
      </c>
      <c r="H140" s="28">
        <f t="shared" si="45"/>
        <v>72193333.333333328</v>
      </c>
      <c r="I140" s="28">
        <f t="shared" si="45"/>
        <v>72193333.333333328</v>
      </c>
      <c r="J140" s="28">
        <f t="shared" si="45"/>
        <v>72193333.333333328</v>
      </c>
      <c r="K140" s="28">
        <f t="shared" si="45"/>
        <v>72193333.333333328</v>
      </c>
      <c r="L140" s="28">
        <f t="shared" si="45"/>
        <v>72193333.333333328</v>
      </c>
      <c r="M140" s="28">
        <f t="shared" si="45"/>
        <v>72193333.333333328</v>
      </c>
      <c r="N140" s="28">
        <f t="shared" si="45"/>
        <v>72193333.333333328</v>
      </c>
      <c r="O140" s="28">
        <f t="shared" si="45"/>
        <v>72193333.333333328</v>
      </c>
      <c r="P140" s="28">
        <f t="shared" si="45"/>
        <v>72193333.333333328</v>
      </c>
      <c r="Q140" s="28">
        <f t="shared" si="45"/>
        <v>72193333.333333328</v>
      </c>
      <c r="R140" s="28">
        <f t="shared" si="45"/>
        <v>72193333.333333328</v>
      </c>
      <c r="S140" s="28">
        <f t="shared" si="45"/>
        <v>72193333.333333328</v>
      </c>
      <c r="T140" s="28">
        <f t="shared" si="45"/>
        <v>72193333.333333328</v>
      </c>
    </row>
    <row r="141" spans="1:20" x14ac:dyDescent="0.35">
      <c r="B141" s="1" t="s">
        <v>136</v>
      </c>
      <c r="C141" s="26"/>
      <c r="D141" s="27">
        <f t="shared" si="43"/>
        <v>75000000</v>
      </c>
      <c r="E141" s="28"/>
      <c r="F141" s="28">
        <v>5000000</v>
      </c>
      <c r="G141" s="28">
        <v>5000000</v>
      </c>
      <c r="H141" s="28">
        <v>5000000</v>
      </c>
      <c r="I141" s="28">
        <v>5000000</v>
      </c>
      <c r="J141" s="28">
        <v>5000000</v>
      </c>
      <c r="K141" s="28">
        <v>5000000</v>
      </c>
      <c r="L141" s="28">
        <v>5000000</v>
      </c>
      <c r="M141" s="28">
        <v>5000000</v>
      </c>
      <c r="N141" s="28">
        <v>5000000</v>
      </c>
      <c r="O141" s="28">
        <v>5000000</v>
      </c>
      <c r="P141" s="28">
        <v>5000000</v>
      </c>
      <c r="Q141" s="28">
        <v>5000000</v>
      </c>
      <c r="R141" s="28">
        <v>5000000</v>
      </c>
      <c r="S141" s="28">
        <v>5000000</v>
      </c>
      <c r="T141" s="28">
        <v>5000000</v>
      </c>
    </row>
    <row r="142" spans="1:20" x14ac:dyDescent="0.35">
      <c r="B142" s="1" t="s">
        <v>122</v>
      </c>
      <c r="C142" s="26" t="s">
        <v>2</v>
      </c>
      <c r="D142" s="27">
        <f>SUM(E142:T142)</f>
        <v>7836598303.4254055</v>
      </c>
      <c r="E142" s="28"/>
      <c r="F142" s="28">
        <f>F134-F136-F139-F140-F141</f>
        <v>499591259.57398182</v>
      </c>
      <c r="G142" s="28">
        <f t="shared" ref="G142:T142" si="46">G134-G136-G139-G140-G141</f>
        <v>524071931.70367295</v>
      </c>
      <c r="H142" s="28">
        <f t="shared" si="46"/>
        <v>524071931.70367295</v>
      </c>
      <c r="I142" s="28">
        <f t="shared" si="46"/>
        <v>524071931.70367295</v>
      </c>
      <c r="J142" s="28">
        <f t="shared" si="46"/>
        <v>524071931.70367295</v>
      </c>
      <c r="K142" s="28">
        <f t="shared" si="46"/>
        <v>524071931.70367295</v>
      </c>
      <c r="L142" s="28">
        <f t="shared" si="46"/>
        <v>524071931.70367295</v>
      </c>
      <c r="M142" s="28">
        <f t="shared" si="46"/>
        <v>524071931.70367295</v>
      </c>
      <c r="N142" s="28">
        <f t="shared" si="46"/>
        <v>524071931.70367295</v>
      </c>
      <c r="O142" s="28">
        <f t="shared" si="46"/>
        <v>524071931.70367295</v>
      </c>
      <c r="P142" s="28">
        <f t="shared" si="46"/>
        <v>524071931.70367295</v>
      </c>
      <c r="Q142" s="28">
        <f t="shared" si="46"/>
        <v>524071931.70367295</v>
      </c>
      <c r="R142" s="28">
        <f t="shared" si="46"/>
        <v>524071931.70367295</v>
      </c>
      <c r="S142" s="28">
        <f t="shared" si="46"/>
        <v>524071931.70367295</v>
      </c>
      <c r="T142" s="28">
        <f t="shared" si="46"/>
        <v>524071931.70367295</v>
      </c>
    </row>
    <row r="143" spans="1:20" x14ac:dyDescent="0.35">
      <c r="C143" s="26"/>
      <c r="D143" s="27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</row>
    <row r="144" spans="1:20" x14ac:dyDescent="0.35">
      <c r="B144" s="1" t="s">
        <v>137</v>
      </c>
    </row>
    <row r="145" spans="1:20" x14ac:dyDescent="0.35">
      <c r="A145" s="1">
        <v>9</v>
      </c>
      <c r="B145" s="1" t="s">
        <v>1</v>
      </c>
      <c r="C145" s="26" t="s">
        <v>2</v>
      </c>
      <c r="D145" s="27">
        <f>SUM(E145:T145)</f>
        <v>4932136833.5113649</v>
      </c>
      <c r="E145" s="28">
        <f t="shared" ref="E145:T145" si="47">E131-E124-E118-E135-E139-E140</f>
        <v>-2063335269.9140401</v>
      </c>
      <c r="F145" s="28">
        <f t="shared" si="47"/>
        <v>443516179.573982</v>
      </c>
      <c r="G145" s="28">
        <f t="shared" si="47"/>
        <v>467996851.70367306</v>
      </c>
      <c r="H145" s="28">
        <f t="shared" si="47"/>
        <v>467996851.70367306</v>
      </c>
      <c r="I145" s="28">
        <f t="shared" si="47"/>
        <v>467996851.70367306</v>
      </c>
      <c r="J145" s="28">
        <f t="shared" si="47"/>
        <v>467996851.70367306</v>
      </c>
      <c r="K145" s="28">
        <f t="shared" si="47"/>
        <v>467996851.70367306</v>
      </c>
      <c r="L145" s="28">
        <f t="shared" si="47"/>
        <v>467996851.70367306</v>
      </c>
      <c r="M145" s="28">
        <f t="shared" si="47"/>
        <v>467996851.70367306</v>
      </c>
      <c r="N145" s="28">
        <f t="shared" si="47"/>
        <v>467996851.70367306</v>
      </c>
      <c r="O145" s="28">
        <f t="shared" si="47"/>
        <v>467996851.70367306</v>
      </c>
      <c r="P145" s="28">
        <f t="shared" si="47"/>
        <v>467996851.70367306</v>
      </c>
      <c r="Q145" s="28">
        <f t="shared" si="47"/>
        <v>467996851.70367306</v>
      </c>
      <c r="R145" s="28">
        <f t="shared" si="47"/>
        <v>467996851.70367306</v>
      </c>
      <c r="S145" s="28">
        <f t="shared" si="47"/>
        <v>467996851.70367306</v>
      </c>
      <c r="T145" s="28">
        <f t="shared" si="47"/>
        <v>467996851.70367306</v>
      </c>
    </row>
    <row r="146" spans="1:20" x14ac:dyDescent="0.35">
      <c r="B146" s="1" t="s">
        <v>7</v>
      </c>
      <c r="C146" s="26" t="s">
        <v>2</v>
      </c>
      <c r="D146" s="27">
        <f t="shared" ref="D146" si="48">SUM(E146:T146)</f>
        <v>22779047803.870762</v>
      </c>
      <c r="E146" s="28">
        <f>E145</f>
        <v>-2063335269.9140401</v>
      </c>
      <c r="F146" s="28">
        <f>E146+F145</f>
        <v>-1619819090.3400581</v>
      </c>
      <c r="G146" s="28">
        <f t="shared" ref="G146:T146" si="49">F146+G145</f>
        <v>-1151822238.636385</v>
      </c>
      <c r="H146" s="28">
        <f t="shared" si="49"/>
        <v>-683825386.93271184</v>
      </c>
      <c r="I146" s="28">
        <f t="shared" si="49"/>
        <v>-215828535.22903877</v>
      </c>
      <c r="J146" s="28">
        <f t="shared" si="49"/>
        <v>252168316.47463429</v>
      </c>
      <c r="K146" s="28">
        <f t="shared" si="49"/>
        <v>720165168.17830729</v>
      </c>
      <c r="L146" s="28">
        <f t="shared" si="49"/>
        <v>1188162019.8819804</v>
      </c>
      <c r="M146" s="28">
        <f t="shared" si="49"/>
        <v>1656158871.5856535</v>
      </c>
      <c r="N146" s="28">
        <f t="shared" si="49"/>
        <v>2124155723.2893267</v>
      </c>
      <c r="O146" s="28">
        <f t="shared" si="49"/>
        <v>2592152574.9929996</v>
      </c>
      <c r="P146" s="28">
        <f t="shared" si="49"/>
        <v>3060149426.6966724</v>
      </c>
      <c r="Q146" s="28">
        <f t="shared" si="49"/>
        <v>3528146278.4003453</v>
      </c>
      <c r="R146" s="28">
        <f t="shared" si="49"/>
        <v>3996143130.1040182</v>
      </c>
      <c r="S146" s="28">
        <f t="shared" si="49"/>
        <v>4464139981.8076916</v>
      </c>
      <c r="T146" s="28">
        <f t="shared" si="49"/>
        <v>4932136833.5113649</v>
      </c>
    </row>
    <row r="147" spans="1:20" x14ac:dyDescent="0.35">
      <c r="C147" s="26"/>
      <c r="D147" s="27"/>
    </row>
    <row r="148" spans="1:20" x14ac:dyDescent="0.35">
      <c r="B148" s="1" t="s">
        <v>53</v>
      </c>
      <c r="C148" s="1" t="s">
        <v>53</v>
      </c>
      <c r="D148" s="39">
        <f>J106-(J146/K145)</f>
        <v>4.4611751862076572</v>
      </c>
    </row>
    <row r="149" spans="1:20" x14ac:dyDescent="0.35">
      <c r="B149" s="1" t="s">
        <v>48</v>
      </c>
      <c r="C149" s="1" t="s">
        <v>48</v>
      </c>
      <c r="D149" s="3">
        <f>0+NPV(10.5%,F145:T145)</f>
        <v>3438132177.8351469</v>
      </c>
      <c r="E149" s="28">
        <f>E125+NPV(10.5%,F125:T125)</f>
        <v>3808504644.7964172</v>
      </c>
    </row>
    <row r="150" spans="1:20" x14ac:dyDescent="0.35">
      <c r="B150" s="1" t="s">
        <v>125</v>
      </c>
      <c r="D150" s="28">
        <f>E149</f>
        <v>3808504644.7964172</v>
      </c>
    </row>
    <row r="151" spans="1:20" x14ac:dyDescent="0.35">
      <c r="B151" s="1" t="s">
        <v>51</v>
      </c>
      <c r="C151" s="1" t="s">
        <v>51</v>
      </c>
      <c r="D151" s="41">
        <f>IRR(E145:T145,10.5%)</f>
        <v>0.21207043471682629</v>
      </c>
    </row>
    <row r="152" spans="1:20" x14ac:dyDescent="0.35">
      <c r="B152" s="1" t="s">
        <v>126</v>
      </c>
      <c r="C152" s="1" t="s">
        <v>126</v>
      </c>
      <c r="D152" s="10">
        <f>D149/E149</f>
        <v>0.90275121038192441</v>
      </c>
    </row>
    <row r="153" spans="1:20" x14ac:dyDescent="0.35">
      <c r="C153" s="26"/>
      <c r="D153" s="27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</row>
    <row r="154" spans="1:20" x14ac:dyDescent="0.35">
      <c r="B154" s="1" t="s">
        <v>138</v>
      </c>
      <c r="D154" s="27"/>
    </row>
    <row r="155" spans="1:20" x14ac:dyDescent="0.35">
      <c r="A155" s="1">
        <v>9</v>
      </c>
      <c r="B155" s="1" t="s">
        <v>1</v>
      </c>
      <c r="C155" s="26" t="s">
        <v>2</v>
      </c>
      <c r="D155" s="27">
        <f t="shared" si="43"/>
        <v>5773263033.5113649</v>
      </c>
      <c r="E155" s="28">
        <f>E133-E118-E124-E128-E136-E139-E140-E141</f>
        <v>-2063335269.9140401</v>
      </c>
      <c r="F155" s="28">
        <f>F133-F118-F124-F128-F136-F139-F140-F141</f>
        <v>499591259.57398194</v>
      </c>
      <c r="G155" s="28">
        <f t="shared" ref="G155:T155" si="50">G133-G118-G124-G128-G136-G139-G140-G141</f>
        <v>524071931.70367306</v>
      </c>
      <c r="H155" s="28">
        <f t="shared" si="50"/>
        <v>524071931.70367306</v>
      </c>
      <c r="I155" s="28">
        <f t="shared" si="50"/>
        <v>524071931.70367306</v>
      </c>
      <c r="J155" s="28">
        <f t="shared" si="50"/>
        <v>524071931.70367306</v>
      </c>
      <c r="K155" s="28">
        <f t="shared" si="50"/>
        <v>524071931.70367306</v>
      </c>
      <c r="L155" s="28">
        <f t="shared" si="50"/>
        <v>524071931.70367306</v>
      </c>
      <c r="M155" s="28">
        <f t="shared" si="50"/>
        <v>524071931.70367306</v>
      </c>
      <c r="N155" s="28">
        <f t="shared" si="50"/>
        <v>524071931.70367306</v>
      </c>
      <c r="O155" s="28">
        <f t="shared" si="50"/>
        <v>524071931.70367306</v>
      </c>
      <c r="P155" s="28">
        <f t="shared" si="50"/>
        <v>524071931.70367306</v>
      </c>
      <c r="Q155" s="28">
        <f t="shared" si="50"/>
        <v>524071931.70367306</v>
      </c>
      <c r="R155" s="28">
        <f t="shared" si="50"/>
        <v>524071931.70367306</v>
      </c>
      <c r="S155" s="28">
        <f t="shared" si="50"/>
        <v>524071931.70367306</v>
      </c>
      <c r="T155" s="28">
        <f t="shared" si="50"/>
        <v>524071931.70367306</v>
      </c>
    </row>
    <row r="156" spans="1:20" x14ac:dyDescent="0.35">
      <c r="B156" s="1" t="s">
        <v>7</v>
      </c>
      <c r="C156" s="26" t="s">
        <v>2</v>
      </c>
      <c r="D156" s="27">
        <f t="shared" si="43"/>
        <v>29508057403.870762</v>
      </c>
      <c r="E156" s="28">
        <f>E155</f>
        <v>-2063335269.9140401</v>
      </c>
      <c r="F156" s="28">
        <f>E156+F155</f>
        <v>-1563744010.3400581</v>
      </c>
      <c r="G156" s="28">
        <f t="shared" ref="G156:T156" si="51">F156+G155</f>
        <v>-1039672078.636385</v>
      </c>
      <c r="H156" s="28">
        <f t="shared" si="51"/>
        <v>-515600146.9327119</v>
      </c>
      <c r="I156" s="28">
        <f t="shared" si="51"/>
        <v>8471784.7709611654</v>
      </c>
      <c r="J156" s="28">
        <f t="shared" si="51"/>
        <v>532543716.47463423</v>
      </c>
      <c r="K156" s="28">
        <f t="shared" si="51"/>
        <v>1056615648.1783073</v>
      </c>
      <c r="L156" s="28">
        <f t="shared" si="51"/>
        <v>1580687579.8819804</v>
      </c>
      <c r="M156" s="28">
        <f t="shared" si="51"/>
        <v>2104759511.5856535</v>
      </c>
      <c r="N156" s="28">
        <f t="shared" si="51"/>
        <v>2628831443.2893267</v>
      </c>
      <c r="O156" s="28">
        <f t="shared" si="51"/>
        <v>3152903374.9929996</v>
      </c>
      <c r="P156" s="28">
        <f t="shared" si="51"/>
        <v>3676975306.6966724</v>
      </c>
      <c r="Q156" s="28">
        <f t="shared" si="51"/>
        <v>4201047238.4003453</v>
      </c>
      <c r="R156" s="28">
        <f t="shared" si="51"/>
        <v>4725119170.1040182</v>
      </c>
      <c r="S156" s="28">
        <f t="shared" si="51"/>
        <v>5249191101.8076916</v>
      </c>
      <c r="T156" s="28">
        <f t="shared" si="51"/>
        <v>5773263033.5113649</v>
      </c>
    </row>
    <row r="157" spans="1:20" x14ac:dyDescent="0.35">
      <c r="C157" s="26"/>
      <c r="D157" s="27"/>
    </row>
    <row r="158" spans="1:20" x14ac:dyDescent="0.35">
      <c r="B158" s="1" t="s">
        <v>53</v>
      </c>
      <c r="C158" s="1" t="s">
        <v>53</v>
      </c>
      <c r="D158" s="39">
        <f>J106-(J156/K155)</f>
        <v>3.9838346908917242</v>
      </c>
    </row>
    <row r="159" spans="1:20" x14ac:dyDescent="0.35">
      <c r="B159" s="1" t="s">
        <v>48</v>
      </c>
      <c r="C159" s="1" t="s">
        <v>48</v>
      </c>
      <c r="D159" s="3">
        <f>0+NPV(10.5%,F155:T155)</f>
        <v>3852741483.474823</v>
      </c>
      <c r="E159" s="28">
        <f>E129+NPV(10.5%,F129:T129)</f>
        <v>4488056275.623004</v>
      </c>
    </row>
    <row r="160" spans="1:20" x14ac:dyDescent="0.35">
      <c r="B160" s="1" t="s">
        <v>139</v>
      </c>
      <c r="D160" s="28">
        <f>E159</f>
        <v>4488056275.623004</v>
      </c>
    </row>
    <row r="161" spans="2:4" x14ac:dyDescent="0.35">
      <c r="B161" s="1" t="s">
        <v>51</v>
      </c>
      <c r="C161" s="1" t="s">
        <v>51</v>
      </c>
      <c r="D161" s="41">
        <f>IRR(E155:T155,10.5%)</f>
        <v>0.24182085271870335</v>
      </c>
    </row>
    <row r="162" spans="2:4" x14ac:dyDescent="0.35">
      <c r="B162" s="1" t="s">
        <v>126</v>
      </c>
      <c r="C162" s="1" t="s">
        <v>126</v>
      </c>
      <c r="D162" s="10">
        <f>D159/E159</f>
        <v>0.85844322059887934</v>
      </c>
    </row>
    <row r="191" ht="18.5" customHeight="1" x14ac:dyDescent="0.35"/>
    <row r="194" ht="17" customHeight="1" x14ac:dyDescent="0.35"/>
  </sheetData>
  <mergeCells count="2">
    <mergeCell ref="D64:D65"/>
    <mergeCell ref="D105:D106"/>
  </mergeCells>
  <hyperlinks>
    <hyperlink ref="E3" r:id="rId1" xr:uid="{84F5B4EE-47AC-498D-8C5F-24275EA1A560}"/>
    <hyperlink ref="E5" r:id="rId2" display="shopee" xr:uid="{888BF782-3071-42A6-9253-30F08BA7BF16}"/>
    <hyperlink ref="E7" r:id="rId3" display="shopee" xr:uid="{96CC3B3D-1C18-4472-A269-6D6D0A6B2B7C}"/>
    <hyperlink ref="E9" r:id="rId4" display="shopee" xr:uid="{4578623C-3C61-4D91-A528-A5AAA7F35DB5}"/>
    <hyperlink ref="E10" r:id="rId5" display="shopee" xr:uid="{FBAF75C4-4645-43D5-BBF8-ACC8B3CAD125}"/>
    <hyperlink ref="E11" r:id="rId6" display="shopee" xr:uid="{C7889C0C-481D-4204-8DED-9026B5DD6BFD}"/>
    <hyperlink ref="E17" r:id="rId7" xr:uid="{856157AD-289B-4581-A845-F83A8B47D2B8}"/>
  </hyperlinks>
  <pageMargins left="0.25" right="0.25" top="0.75" bottom="0.75" header="0.3" footer="0.3"/>
  <pageSetup paperSize="8" orientation="landscape" r:id="rId8"/>
  <legacy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potensi</vt:lpstr>
      <vt:lpstr>Finasial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Anti Statis</dc:creator>
  <cp:lastModifiedBy>Anti Statis</cp:lastModifiedBy>
  <dcterms:created xsi:type="dcterms:W3CDTF">2026-01-18T08:31:56Z</dcterms:created>
  <dcterms:modified xsi:type="dcterms:W3CDTF">2026-01-18T08:40:31Z</dcterms:modified>
</cp:coreProperties>
</file>