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 firstSheet="3" activeTab="7"/>
  </bookViews>
  <sheets>
    <sheet name="BIAYA KEPEMILIKAN DT BB" sheetId="2" r:id="rId1"/>
    <sheet name="BIAYA KEPEMILIKAN EXA BB" sheetId="1" r:id="rId2"/>
    <sheet name="BIAYA SEWA ALAT BERAT" sheetId="4" r:id="rId3"/>
    <sheet name="HBA" sheetId="8" r:id="rId4"/>
    <sheet name="CASH FLOW BELI LANGSUNG" sheetId="6" r:id="rId5"/>
    <sheet name="CASH FLOW SEWA" sheetId="9" r:id="rId6"/>
    <sheet name="NPV" sheetId="13" r:id="rId7"/>
    <sheet name="IRR" sheetId="14" r:id="rId8"/>
    <sheet name="CASH FLOW BULANAN BELI LANGSUNG" sheetId="7" r:id="rId9"/>
  </sheets>
  <calcPr calcId="144525"/>
</workbook>
</file>

<file path=xl/calcChain.xml><?xml version="1.0" encoding="utf-8"?>
<calcChain xmlns="http://schemas.openxmlformats.org/spreadsheetml/2006/main">
  <c r="C28" i="4" l="1"/>
  <c r="C33" i="4"/>
  <c r="E28" i="2"/>
  <c r="G24" i="2"/>
  <c r="E23" i="2"/>
  <c r="H47" i="14" l="1"/>
  <c r="H46" i="14"/>
  <c r="H45" i="14"/>
  <c r="H44" i="14"/>
  <c r="H43" i="14"/>
  <c r="H42" i="14"/>
  <c r="C47" i="14"/>
  <c r="C46" i="14"/>
  <c r="C45" i="14"/>
  <c r="C44" i="14"/>
  <c r="C43" i="14"/>
  <c r="E14" i="2"/>
  <c r="E13" i="2"/>
  <c r="E32" i="2"/>
  <c r="G32" i="2"/>
  <c r="F32" i="2"/>
  <c r="H35" i="14"/>
  <c r="H34" i="14"/>
  <c r="H33" i="14"/>
  <c r="H32" i="14"/>
  <c r="H31" i="14"/>
  <c r="C35" i="14"/>
  <c r="C34" i="14"/>
  <c r="C33" i="14"/>
  <c r="C32" i="14"/>
  <c r="C31" i="14"/>
  <c r="H22" i="14"/>
  <c r="H21" i="14"/>
  <c r="H20" i="14"/>
  <c r="H19" i="14"/>
  <c r="H18" i="14"/>
  <c r="C23" i="14"/>
  <c r="C22" i="14"/>
  <c r="C21" i="14"/>
  <c r="C20" i="14"/>
  <c r="C19" i="14"/>
  <c r="C18" i="14"/>
  <c r="H10" i="14"/>
  <c r="H9" i="14"/>
  <c r="H8" i="14"/>
  <c r="H7" i="14"/>
  <c r="H6" i="14"/>
  <c r="C42" i="14"/>
  <c r="H30" i="14"/>
  <c r="C30" i="14"/>
  <c r="H17" i="14"/>
  <c r="C17" i="14"/>
  <c r="H5" i="14"/>
  <c r="C10" i="14"/>
  <c r="C9" i="14"/>
  <c r="C8" i="14"/>
  <c r="C7" i="14"/>
  <c r="C6" i="14"/>
  <c r="C5" i="14"/>
  <c r="I51" i="6"/>
  <c r="E51" i="6"/>
  <c r="E6" i="4"/>
  <c r="F6" i="4"/>
  <c r="G6" i="4" s="1"/>
  <c r="E7" i="4"/>
  <c r="B28" i="6"/>
  <c r="B27" i="6"/>
  <c r="H5" i="13"/>
  <c r="C17" i="13"/>
  <c r="C6" i="13"/>
  <c r="C5" i="13"/>
  <c r="Q24" i="9"/>
  <c r="Q25" i="9"/>
  <c r="Q26" i="9"/>
  <c r="Q27" i="9"/>
  <c r="Q23" i="9"/>
  <c r="Q10" i="9"/>
  <c r="Q11" i="9"/>
  <c r="Q12" i="9"/>
  <c r="Q13" i="9"/>
  <c r="Q9" i="9"/>
  <c r="S27" i="6"/>
  <c r="S28" i="6"/>
  <c r="S29" i="6"/>
  <c r="S30" i="6"/>
  <c r="S26" i="6"/>
  <c r="R12" i="6"/>
  <c r="T12" i="6"/>
  <c r="F46" i="9"/>
  <c r="G46" i="9"/>
  <c r="H46" i="9"/>
  <c r="I46" i="9"/>
  <c r="E46" i="9"/>
  <c r="F38" i="9"/>
  <c r="G38" i="9"/>
  <c r="G45" i="9" s="1"/>
  <c r="H38" i="9"/>
  <c r="H52" i="9" s="1"/>
  <c r="I38" i="9"/>
  <c r="E38" i="9"/>
  <c r="F15" i="9"/>
  <c r="G15" i="9"/>
  <c r="H15" i="9"/>
  <c r="I15" i="9"/>
  <c r="E15" i="9"/>
  <c r="F7" i="9"/>
  <c r="F21" i="9" s="1"/>
  <c r="G7" i="9"/>
  <c r="G21" i="9" s="1"/>
  <c r="H7" i="9"/>
  <c r="H21" i="9" s="1"/>
  <c r="I7" i="9"/>
  <c r="E7" i="9"/>
  <c r="E21" i="9" s="1"/>
  <c r="F9" i="6"/>
  <c r="G9" i="6"/>
  <c r="H9" i="6"/>
  <c r="I9" i="6"/>
  <c r="E9" i="6"/>
  <c r="F42" i="6"/>
  <c r="F56" i="6" s="1"/>
  <c r="G42" i="6"/>
  <c r="G49" i="6" s="1"/>
  <c r="G50" i="6" s="1"/>
  <c r="H42" i="6"/>
  <c r="H56" i="6" s="1"/>
  <c r="I42" i="6"/>
  <c r="E42" i="6"/>
  <c r="E49" i="6" s="1"/>
  <c r="E50" i="6" s="1"/>
  <c r="I50" i="6"/>
  <c r="G56" i="6"/>
  <c r="I56" i="6"/>
  <c r="D56" i="6"/>
  <c r="C18" i="13"/>
  <c r="P22" i="9"/>
  <c r="R22" i="9" s="1"/>
  <c r="P23" i="9"/>
  <c r="R23" i="9" s="1"/>
  <c r="P24" i="9"/>
  <c r="P25" i="9"/>
  <c r="P26" i="9"/>
  <c r="P27" i="9"/>
  <c r="R27" i="9" s="1"/>
  <c r="F52" i="9"/>
  <c r="G52" i="9"/>
  <c r="I52" i="9"/>
  <c r="I21" i="9"/>
  <c r="H15" i="4"/>
  <c r="E52" i="9"/>
  <c r="E45" i="9"/>
  <c r="D52" i="9"/>
  <c r="F45" i="9"/>
  <c r="I45" i="9"/>
  <c r="K6" i="4"/>
  <c r="K8" i="4"/>
  <c r="F7" i="4"/>
  <c r="F13" i="1"/>
  <c r="E13" i="1"/>
  <c r="E4" i="1"/>
  <c r="E4" i="2"/>
  <c r="F49" i="6"/>
  <c r="F50" i="6" s="1"/>
  <c r="I49" i="6"/>
  <c r="R13" i="6"/>
  <c r="S13" i="6" s="1"/>
  <c r="R14" i="6"/>
  <c r="S14" i="6" s="1"/>
  <c r="G13" i="2"/>
  <c r="F31" i="1"/>
  <c r="E31" i="1"/>
  <c r="C33" i="1"/>
  <c r="D16" i="6"/>
  <c r="F30" i="1"/>
  <c r="E30" i="1"/>
  <c r="F32" i="1"/>
  <c r="C34" i="1"/>
  <c r="C31" i="1"/>
  <c r="C30" i="1"/>
  <c r="C14" i="1"/>
  <c r="C32" i="2"/>
  <c r="C14" i="2"/>
  <c r="C33" i="2"/>
  <c r="E33" i="2" s="1"/>
  <c r="F33" i="2" s="1"/>
  <c r="H36" i="14" l="1"/>
  <c r="R26" i="9"/>
  <c r="H45" i="9"/>
  <c r="H49" i="6"/>
  <c r="H50" i="6" s="1"/>
  <c r="E56" i="6"/>
  <c r="C36" i="14"/>
  <c r="H23" i="14"/>
  <c r="K5" i="14" s="1"/>
  <c r="H11" i="14"/>
  <c r="C11" i="14"/>
  <c r="R25" i="9"/>
  <c r="R24" i="9"/>
  <c r="T13" i="6"/>
  <c r="T14" i="6"/>
  <c r="C8" i="13" l="1"/>
  <c r="C13" i="2"/>
  <c r="F7" i="2"/>
  <c r="G21" i="2"/>
  <c r="C11" i="2"/>
  <c r="C10" i="2"/>
  <c r="C6" i="2"/>
  <c r="C9" i="2" l="1"/>
  <c r="P9" i="9" l="1"/>
  <c r="D45" i="9"/>
  <c r="D14" i="9"/>
  <c r="P13" i="9"/>
  <c r="P12" i="9"/>
  <c r="R12" i="9" s="1"/>
  <c r="P11" i="9"/>
  <c r="R11" i="9" s="1"/>
  <c r="P10" i="9"/>
  <c r="P8" i="9"/>
  <c r="R8" i="9" s="1"/>
  <c r="R25" i="6"/>
  <c r="T25" i="6" s="1"/>
  <c r="R30" i="6"/>
  <c r="T30" i="6" s="1"/>
  <c r="R29" i="6"/>
  <c r="R28" i="6"/>
  <c r="R27" i="6"/>
  <c r="T27" i="6" s="1"/>
  <c r="R26" i="6"/>
  <c r="G7" i="4"/>
  <c r="T26" i="6" l="1"/>
  <c r="R28" i="9"/>
  <c r="R10" i="9"/>
  <c r="R9" i="9"/>
  <c r="R13" i="9"/>
  <c r="T29" i="6"/>
  <c r="T28" i="6"/>
  <c r="H6" i="13"/>
  <c r="T31" i="6" l="1"/>
  <c r="R14" i="9"/>
  <c r="R15" i="6"/>
  <c r="R16" i="6"/>
  <c r="R17" i="6"/>
  <c r="S17" i="6" s="1"/>
  <c r="S16" i="6" l="1"/>
  <c r="T16" i="6" s="1"/>
  <c r="S15" i="6"/>
  <c r="T15" i="6" s="1"/>
  <c r="T17" i="6"/>
  <c r="C19" i="13"/>
  <c r="C10" i="13"/>
  <c r="C9" i="13"/>
  <c r="C7" i="13"/>
  <c r="D49" i="6"/>
  <c r="D18" i="6"/>
  <c r="D20" i="6" s="1"/>
  <c r="D23" i="6" s="1"/>
  <c r="F12" i="9"/>
  <c r="G12" i="9"/>
  <c r="H12" i="9"/>
  <c r="I12" i="9"/>
  <c r="E12" i="9"/>
  <c r="F43" i="9"/>
  <c r="G43" i="9"/>
  <c r="H43" i="9"/>
  <c r="I43" i="9"/>
  <c r="E43" i="9"/>
  <c r="F47" i="6"/>
  <c r="G47" i="6"/>
  <c r="H47" i="6"/>
  <c r="I47" i="6"/>
  <c r="E47" i="6"/>
  <c r="F14" i="6"/>
  <c r="G14" i="6"/>
  <c r="H14" i="6"/>
  <c r="I14" i="6"/>
  <c r="E14" i="6"/>
  <c r="C11" i="13" l="1"/>
  <c r="T18" i="6"/>
  <c r="H22" i="13"/>
  <c r="H21" i="13"/>
  <c r="H20" i="13"/>
  <c r="H19" i="13"/>
  <c r="H18" i="13"/>
  <c r="H17" i="13"/>
  <c r="H23" i="13" s="1"/>
  <c r="H10" i="13"/>
  <c r="H9" i="13"/>
  <c r="H8" i="13"/>
  <c r="H7" i="13"/>
  <c r="C20" i="13"/>
  <c r="C21" i="13"/>
  <c r="C22" i="13"/>
  <c r="H22" i="4"/>
  <c r="J8" i="4"/>
  <c r="J6" i="4"/>
  <c r="E14" i="1"/>
  <c r="H11" i="13" l="1"/>
  <c r="H48" i="14"/>
  <c r="C48" i="14"/>
  <c r="C23" i="13"/>
  <c r="L5" i="14" l="1"/>
  <c r="L6" i="14"/>
  <c r="D51" i="6"/>
  <c r="D53" i="6" s="1"/>
  <c r="G22" i="4"/>
  <c r="D47" i="9"/>
  <c r="D49" i="9" s="1"/>
  <c r="D16" i="9"/>
  <c r="G15" i="4"/>
  <c r="I14" i="9"/>
  <c r="H14" i="9"/>
  <c r="F14" i="9"/>
  <c r="E14" i="9"/>
  <c r="E20" i="4"/>
  <c r="E22" i="4"/>
  <c r="E15" i="4"/>
  <c r="E13" i="4"/>
  <c r="D48" i="7"/>
  <c r="D50" i="7" s="1"/>
  <c r="P46" i="7"/>
  <c r="O46" i="7"/>
  <c r="O48" i="7" s="1"/>
  <c r="N46" i="7"/>
  <c r="M46" i="7"/>
  <c r="L46" i="7"/>
  <c r="K46" i="7"/>
  <c r="J46" i="7"/>
  <c r="I46" i="7"/>
  <c r="H46" i="7"/>
  <c r="G46" i="7"/>
  <c r="G48" i="7" s="1"/>
  <c r="F46" i="7"/>
  <c r="E46" i="7"/>
  <c r="E42" i="7" s="1"/>
  <c r="P42" i="7"/>
  <c r="O42" i="7"/>
  <c r="N42" i="7"/>
  <c r="M42" i="7"/>
  <c r="L42" i="7"/>
  <c r="K42" i="7"/>
  <c r="J42" i="7"/>
  <c r="I42" i="7"/>
  <c r="H42" i="7"/>
  <c r="G42" i="7"/>
  <c r="F13" i="2"/>
  <c r="E14" i="7"/>
  <c r="E10" i="7" s="1"/>
  <c r="B17" i="8"/>
  <c r="B16" i="8"/>
  <c r="J14" i="7"/>
  <c r="J10" i="7" s="1"/>
  <c r="J16" i="7" s="1"/>
  <c r="J17" i="7" s="1"/>
  <c r="J18" i="7" s="1"/>
  <c r="K14" i="7"/>
  <c r="K10" i="7" s="1"/>
  <c r="L14" i="7"/>
  <c r="L10" i="7" s="1"/>
  <c r="M14" i="7"/>
  <c r="M10" i="7" s="1"/>
  <c r="N14" i="7"/>
  <c r="O14" i="7"/>
  <c r="O10" i="7" s="1"/>
  <c r="P14" i="7"/>
  <c r="P10" i="7" s="1"/>
  <c r="K27" i="7"/>
  <c r="D16" i="7"/>
  <c r="D18" i="7" s="1"/>
  <c r="I14" i="7"/>
  <c r="H14" i="7"/>
  <c r="H10" i="7" s="1"/>
  <c r="G14" i="7"/>
  <c r="F14" i="7"/>
  <c r="F10" i="7" s="1"/>
  <c r="S6" i="7"/>
  <c r="D18" i="9" l="1"/>
  <c r="D21" i="9" s="1"/>
  <c r="B25" i="9"/>
  <c r="B26" i="9"/>
  <c r="G51" i="6"/>
  <c r="H51" i="6"/>
  <c r="E47" i="9"/>
  <c r="E49" i="9" s="1"/>
  <c r="H47" i="9"/>
  <c r="I47" i="9"/>
  <c r="I16" i="9"/>
  <c r="F16" i="9"/>
  <c r="G14" i="9"/>
  <c r="K48" i="7"/>
  <c r="K49" i="7" s="1"/>
  <c r="K50" i="7" s="1"/>
  <c r="M16" i="7"/>
  <c r="M17" i="7" s="1"/>
  <c r="M18" i="7" s="1"/>
  <c r="J48" i="7"/>
  <c r="J49" i="7" s="1"/>
  <c r="J50" i="7" s="1"/>
  <c r="N48" i="7"/>
  <c r="N49" i="7" s="1"/>
  <c r="N50" i="7" s="1"/>
  <c r="P16" i="7"/>
  <c r="P17" i="7" s="1"/>
  <c r="P18" i="7" s="1"/>
  <c r="H48" i="7"/>
  <c r="H49" i="7" s="1"/>
  <c r="H50" i="7" s="1"/>
  <c r="L48" i="7"/>
  <c r="L49" i="7" s="1"/>
  <c r="L50" i="7" s="1"/>
  <c r="P48" i="7"/>
  <c r="L16" i="7"/>
  <c r="E48" i="7"/>
  <c r="I48" i="7"/>
  <c r="I49" i="7" s="1"/>
  <c r="I50" i="7" s="1"/>
  <c r="M48" i="7"/>
  <c r="M49" i="7" s="1"/>
  <c r="M50" i="7" s="1"/>
  <c r="P49" i="7"/>
  <c r="P50" i="7" s="1"/>
  <c r="E49" i="7"/>
  <c r="E50" i="7" s="1"/>
  <c r="D52" i="7"/>
  <c r="G49" i="7"/>
  <c r="G50" i="7" s="1"/>
  <c r="F42" i="7"/>
  <c r="F48" i="7" s="1"/>
  <c r="O49" i="7"/>
  <c r="O50" i="7" s="1"/>
  <c r="D20" i="7"/>
  <c r="F16" i="7"/>
  <c r="F17" i="7" s="1"/>
  <c r="F18" i="7" s="1"/>
  <c r="H16" i="7"/>
  <c r="E16" i="7"/>
  <c r="O16" i="7"/>
  <c r="O17" i="7" s="1"/>
  <c r="O18" i="7" s="1"/>
  <c r="K16" i="7"/>
  <c r="K17" i="7" s="1"/>
  <c r="K18" i="7" s="1"/>
  <c r="L17" i="7"/>
  <c r="G10" i="7"/>
  <c r="G16" i="7" s="1"/>
  <c r="N10" i="7"/>
  <c r="N16" i="7" s="1"/>
  <c r="N17" i="7" s="1"/>
  <c r="N18" i="7" s="1"/>
  <c r="I10" i="7"/>
  <c r="I16" i="7" s="1"/>
  <c r="I17" i="7" s="1"/>
  <c r="I18" i="7" s="1"/>
  <c r="E16" i="6" l="1"/>
  <c r="E17" i="6" s="1"/>
  <c r="E23" i="6"/>
  <c r="F51" i="6"/>
  <c r="G47" i="9"/>
  <c r="F47" i="9"/>
  <c r="E16" i="9"/>
  <c r="G16" i="9"/>
  <c r="H16" i="9"/>
  <c r="L18" i="7"/>
  <c r="H17" i="7"/>
  <c r="H18" i="7" s="1"/>
  <c r="F49" i="7"/>
  <c r="F50" i="7"/>
  <c r="B61" i="7" s="1"/>
  <c r="E52" i="7"/>
  <c r="G17" i="7"/>
  <c r="G18" i="7" s="1"/>
  <c r="E17" i="7"/>
  <c r="E18" i="7" s="1"/>
  <c r="B57" i="9" l="1"/>
  <c r="E18" i="6"/>
  <c r="B60" i="6"/>
  <c r="E53" i="6"/>
  <c r="F53" i="6" s="1"/>
  <c r="G53" i="6" s="1"/>
  <c r="H53" i="6" s="1"/>
  <c r="I53" i="6" s="1"/>
  <c r="B56" i="9"/>
  <c r="B61" i="6"/>
  <c r="F49" i="9"/>
  <c r="G49" i="9" s="1"/>
  <c r="H49" i="9" s="1"/>
  <c r="I49" i="9" s="1"/>
  <c r="E18" i="9"/>
  <c r="F18" i="9" s="1"/>
  <c r="G18" i="9" s="1"/>
  <c r="H18" i="9" s="1"/>
  <c r="I18" i="9" s="1"/>
  <c r="B60" i="7"/>
  <c r="F52" i="7"/>
  <c r="G52" i="7" s="1"/>
  <c r="H52" i="7" s="1"/>
  <c r="I52" i="7" s="1"/>
  <c r="J52" i="7" s="1"/>
  <c r="K52" i="7" s="1"/>
  <c r="L52" i="7" s="1"/>
  <c r="M52" i="7" s="1"/>
  <c r="N52" i="7" s="1"/>
  <c r="O52" i="7" s="1"/>
  <c r="P52" i="7" s="1"/>
  <c r="B28" i="7"/>
  <c r="B29" i="7"/>
  <c r="E20" i="7"/>
  <c r="F20" i="7" l="1"/>
  <c r="G20" i="7" s="1"/>
  <c r="H20" i="7" s="1"/>
  <c r="I20" i="7" s="1"/>
  <c r="J20" i="7" s="1"/>
  <c r="K20" i="7" s="1"/>
  <c r="L20" i="7" s="1"/>
  <c r="M20" i="7" s="1"/>
  <c r="N20" i="7" s="1"/>
  <c r="O20" i="7" s="1"/>
  <c r="P20" i="7" s="1"/>
  <c r="K25" i="6" l="1"/>
  <c r="C5" i="2"/>
  <c r="H23" i="6" l="1"/>
  <c r="H16" i="6"/>
  <c r="H17" i="6" s="1"/>
  <c r="I23" i="6"/>
  <c r="I16" i="6"/>
  <c r="I17" i="6" s="1"/>
  <c r="F23" i="6"/>
  <c r="F16" i="6"/>
  <c r="F17" i="6" s="1"/>
  <c r="G23" i="6"/>
  <c r="G16" i="6"/>
  <c r="G17" i="6" s="1"/>
  <c r="H18" i="6" l="1"/>
  <c r="F18" i="6"/>
  <c r="G18" i="6"/>
  <c r="I18" i="6"/>
  <c r="E20" i="6"/>
  <c r="F20" i="6" l="1"/>
  <c r="G20" i="6" s="1"/>
  <c r="H20" i="6" s="1"/>
  <c r="I20" i="6" s="1"/>
  <c r="C32" i="1"/>
  <c r="E27" i="1"/>
  <c r="E24" i="1"/>
  <c r="E23" i="1"/>
  <c r="G20" i="1"/>
  <c r="E21" i="1"/>
  <c r="E22" i="1"/>
  <c r="E20" i="1"/>
  <c r="E19" i="1"/>
  <c r="E18" i="1"/>
  <c r="E26" i="2"/>
  <c r="C34" i="2"/>
  <c r="C35" i="2" s="1"/>
  <c r="C36" i="2" s="1"/>
  <c r="E32" i="1" l="1"/>
  <c r="E34" i="2"/>
  <c r="E35" i="2" s="1"/>
  <c r="F35" i="2" s="1"/>
  <c r="E25" i="2"/>
  <c r="E24" i="2"/>
  <c r="E22" i="2" l="1"/>
  <c r="E21" i="2"/>
  <c r="E19" i="2"/>
  <c r="H20" i="2"/>
  <c r="E20" i="2"/>
  <c r="E18" i="2"/>
  <c r="C11" i="1" l="1"/>
  <c r="C9" i="1" l="1"/>
  <c r="E25" i="1" s="1"/>
  <c r="C5" i="1"/>
  <c r="C10" i="1" s="1"/>
  <c r="C15" i="2"/>
  <c r="C6" i="1" l="1"/>
  <c r="C13" i="1" s="1"/>
  <c r="C15" i="1" s="1"/>
</calcChain>
</file>

<file path=xl/sharedStrings.xml><?xml version="1.0" encoding="utf-8"?>
<sst xmlns="http://schemas.openxmlformats.org/spreadsheetml/2006/main" count="543" uniqueCount="145">
  <si>
    <t xml:space="preserve">Gaji operator </t>
  </si>
  <si>
    <t>Rp</t>
  </si>
  <si>
    <t>Satuan</t>
  </si>
  <si>
    <t>Item</t>
  </si>
  <si>
    <t>No.</t>
  </si>
  <si>
    <t>KETERANGAN</t>
  </si>
  <si>
    <t>NILAI</t>
  </si>
  <si>
    <t>Harga alat</t>
  </si>
  <si>
    <t>Nilai Depresiasi</t>
  </si>
  <si>
    <t>Jam kerja alat</t>
  </si>
  <si>
    <t>jam</t>
  </si>
  <si>
    <t>tahun</t>
  </si>
  <si>
    <t xml:space="preserve">umur alat </t>
  </si>
  <si>
    <t>usia pakai alat</t>
  </si>
  <si>
    <t>Nilai Sisa (10%)</t>
  </si>
  <si>
    <t>trade-in value rate</t>
  </si>
  <si>
    <t>faktor</t>
  </si>
  <si>
    <t>%</t>
  </si>
  <si>
    <t>biaya kepemilikan</t>
  </si>
  <si>
    <t xml:space="preserve">Depresiasi </t>
  </si>
  <si>
    <t>Rp/jam</t>
  </si>
  <si>
    <t>bunga, asuransi, pajak (IIT)</t>
  </si>
  <si>
    <t>total biaya kepemilikan</t>
  </si>
  <si>
    <t xml:space="preserve">HINO FM 260 </t>
  </si>
  <si>
    <t>oli mesin</t>
  </si>
  <si>
    <t>oli Tranmisi</t>
  </si>
  <si>
    <t>oli Final drive</t>
  </si>
  <si>
    <t>oli hindraulic</t>
  </si>
  <si>
    <t>filter</t>
  </si>
  <si>
    <t>ban</t>
  </si>
  <si>
    <t xml:space="preserve">perbaikan </t>
  </si>
  <si>
    <t>Bahan bakar</t>
  </si>
  <si>
    <t>Harga</t>
  </si>
  <si>
    <t>Komsumsi</t>
  </si>
  <si>
    <t>12 liter/jam</t>
  </si>
  <si>
    <t>Rp 14,000/liter</t>
  </si>
  <si>
    <t>Total Biaya</t>
  </si>
  <si>
    <t>Rp 220000/5 liter</t>
  </si>
  <si>
    <t>Rp 44,000/liter</t>
  </si>
  <si>
    <t>liter/jam</t>
  </si>
  <si>
    <t>Rp 46,000/liter</t>
  </si>
  <si>
    <t>0.04 liter/jam</t>
  </si>
  <si>
    <t>0.03 liter/jam</t>
  </si>
  <si>
    <t>0.038 liter/jam</t>
  </si>
  <si>
    <t>0.042 liter/jam</t>
  </si>
  <si>
    <t>1/2 kebutuhan oli</t>
  </si>
  <si>
    <t>grease</t>
  </si>
  <si>
    <t>0.06 kg/jam</t>
  </si>
  <si>
    <t>kg/jam</t>
  </si>
  <si>
    <t>Rp 41,000/liter</t>
  </si>
  <si>
    <t>Rp 36,000/liter</t>
  </si>
  <si>
    <t>37,000/kg</t>
  </si>
  <si>
    <t>4,300,000/ban</t>
  </si>
  <si>
    <t>10 ban</t>
  </si>
  <si>
    <t>Total biaya</t>
  </si>
  <si>
    <t>Total biaya operasional</t>
  </si>
  <si>
    <t>Keterangan</t>
  </si>
  <si>
    <t>Biaya</t>
  </si>
  <si>
    <t>30 liter/jam</t>
  </si>
  <si>
    <t>0.18 liter/jam</t>
  </si>
  <si>
    <t>0.05 liter/jam</t>
  </si>
  <si>
    <t>0.02 liter/jam</t>
  </si>
  <si>
    <t>0.16 liter/jam</t>
  </si>
  <si>
    <t>0.16 kg/jam</t>
  </si>
  <si>
    <t>Alat Berat</t>
  </si>
  <si>
    <t>Beli Langsung</t>
  </si>
  <si>
    <t>Sewa</t>
  </si>
  <si>
    <t>VOLVO EC480</t>
  </si>
  <si>
    <t>URAIAN</t>
  </si>
  <si>
    <t>Unit</t>
  </si>
  <si>
    <t>MT</t>
  </si>
  <si>
    <t>Rp/MT</t>
  </si>
  <si>
    <t>Depresiasi Peralatan</t>
  </si>
  <si>
    <t>Nilai Sisa Peralatan</t>
  </si>
  <si>
    <t>Harga Batubara</t>
  </si>
  <si>
    <t>Pendapatan Penjualan</t>
  </si>
  <si>
    <t>Keuntungan Sebelum PPH (30%)</t>
  </si>
  <si>
    <t>PPH 30%</t>
  </si>
  <si>
    <t>Keuntungan Bersih</t>
  </si>
  <si>
    <t>MARR ( Minimum Atractive Rate of Return )</t>
  </si>
  <si>
    <t>NPV ( Net Present Value )</t>
  </si>
  <si>
    <t>IRR ( Internal Rate of Return )</t>
  </si>
  <si>
    <t>Biaya kepemilikan alat dan operasional alat</t>
  </si>
  <si>
    <t>Investasi awal</t>
  </si>
  <si>
    <t xml:space="preserve">Produksi Batubara </t>
  </si>
  <si>
    <t>Tahun 0</t>
  </si>
  <si>
    <t>Tahun 1</t>
  </si>
  <si>
    <t>Tahun 2</t>
  </si>
  <si>
    <t>Tahun 3</t>
  </si>
  <si>
    <t>Tahun 4</t>
  </si>
  <si>
    <t>Tahun 5</t>
  </si>
  <si>
    <t>Aliran Kas Komulatif</t>
  </si>
  <si>
    <t>Royalti</t>
  </si>
  <si>
    <t>bulan 0</t>
  </si>
  <si>
    <t>bulan 1</t>
  </si>
  <si>
    <t>bulan 2</t>
  </si>
  <si>
    <t>bulan 3</t>
  </si>
  <si>
    <t>bulan 4</t>
  </si>
  <si>
    <t>bulan 5</t>
  </si>
  <si>
    <t>bulan 6</t>
  </si>
  <si>
    <t>bulan 7</t>
  </si>
  <si>
    <t>bulan 8</t>
  </si>
  <si>
    <t>bulan 9</t>
  </si>
  <si>
    <t>bulan 10</t>
  </si>
  <si>
    <t>bulan 11</t>
  </si>
  <si>
    <t>bulan 12</t>
  </si>
  <si>
    <t>HBA</t>
  </si>
  <si>
    <t>Bulan</t>
  </si>
  <si>
    <t>Rata-rata</t>
  </si>
  <si>
    <t>BIAYA OPERASIONAL HINO FM 260</t>
  </si>
  <si>
    <t>BIAYA OPERASIONAL VOLVO EC 480</t>
  </si>
  <si>
    <t>Biaya Sewa alat</t>
  </si>
  <si>
    <t>Biaya operasional</t>
  </si>
  <si>
    <t>jam/tahun</t>
  </si>
  <si>
    <t xml:space="preserve"> </t>
  </si>
  <si>
    <t>Total biaya sewa</t>
  </si>
  <si>
    <t>volvo ec480</t>
  </si>
  <si>
    <t>Nama Unit</t>
  </si>
  <si>
    <t>Volvo EC480</t>
  </si>
  <si>
    <t>Hino FM260</t>
  </si>
  <si>
    <t>NPV</t>
  </si>
  <si>
    <t>ALIRAN KAS</t>
  </si>
  <si>
    <t>TAHUN</t>
  </si>
  <si>
    <t>i atau K</t>
  </si>
  <si>
    <t>TOTAL</t>
  </si>
  <si>
    <t>beli langsung Hino FM260</t>
  </si>
  <si>
    <t>beli langsung Volvo EC480</t>
  </si>
  <si>
    <t>sewa Volvo EC480</t>
  </si>
  <si>
    <t>sewa Hino FM260</t>
  </si>
  <si>
    <t>No</t>
  </si>
  <si>
    <t>Biya Produksi Batubara</t>
  </si>
  <si>
    <t>RP/MT</t>
  </si>
  <si>
    <t>Biaya  operasional alat</t>
  </si>
  <si>
    <t>Biaya Kepemilikan</t>
  </si>
  <si>
    <t>Biaya operasional alat</t>
  </si>
  <si>
    <t xml:space="preserve">Tahun </t>
  </si>
  <si>
    <t>cash in</t>
  </si>
  <si>
    <t>cash out</t>
  </si>
  <si>
    <t>Total</t>
  </si>
  <si>
    <r>
      <rPr>
        <i/>
        <sz val="11"/>
        <color theme="1"/>
        <rFont val="Calibri"/>
        <family val="2"/>
        <scheme val="minor"/>
      </rPr>
      <t xml:space="preserve">cash flow </t>
    </r>
    <r>
      <rPr>
        <sz val="11"/>
        <color theme="1"/>
        <rFont val="Calibri"/>
        <family val="2"/>
        <scheme val="minor"/>
      </rPr>
      <t>Hino FM 260</t>
    </r>
  </si>
  <si>
    <r>
      <rPr>
        <i/>
        <sz val="11"/>
        <color theme="1"/>
        <rFont val="Calibri"/>
        <family val="2"/>
        <scheme val="minor"/>
      </rPr>
      <t xml:space="preserve">cash flow </t>
    </r>
    <r>
      <rPr>
        <sz val="11"/>
        <color theme="1"/>
        <rFont val="Calibri"/>
        <family val="2"/>
        <scheme val="minor"/>
      </rPr>
      <t>Volvo EC480</t>
    </r>
  </si>
  <si>
    <t>Keuntungan Sebelum PPH (25%)</t>
  </si>
  <si>
    <t>PPH 25%</t>
  </si>
  <si>
    <t xml:space="preserve"> PPh 25%</t>
  </si>
  <si>
    <t>Keuntungan sebelum PPh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</si>
</sst>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2" formatCode="_-&quot;Rp&quot;* #,##0_-;\-&quot;Rp&quot;* #,##0_-;_-&quot;Rp&quot;* &quot;-&quot;_-;_-@_-"/>
    <numFmt numFmtId="41" formatCode="_-* #,##0_-;\-* #,##0_-;_-* &quot;-&quot;_-;_-@_-"/>
    <numFmt numFmtId="44" formatCode="_-&quot;Rp&quot;* #,##0.00_-;\-&quot;Rp&quot;* #,##0.00_-;_-&quot;Rp&quot;* &quot;-&quot;??_-;_-@_-"/>
    <numFmt numFmtId="43" formatCode="_-* #,##0.00_-;\-* #,##0.00_-;_-* &quot;-&quot;??_-;_-@_-"/>
    <numFmt numFmtId="164" formatCode="_(* #,##0_);_(* \(#,##0\);_(* &quot;-&quot;_);_(@_)"/>
    <numFmt numFmtId="165" formatCode="_(&quot;Rp&quot;* #,##0_);_(&quot;Rp&quot;* \(#,##0\);_(&quot;Rp&quot;* &quot;-&quot;_);_(@_)"/>
    <numFmt numFmtId="166" formatCode="_(* #,##0.00_);_(* \(#,##0.00\);_(* &quot;-&quot;??_);_(@_)"/>
    <numFmt numFmtId="167" formatCode="_(* #,##0_);_(* \(#,##0\);_(* &quot;-&quot;??_);_(@_)"/>
    <numFmt numFmtId="168" formatCode="_([$Rp-421]* #,##0.00_);_([$Rp-421]* \(#,##0.00\);_([$Rp-421]* &quot;-&quot;??_);_(@_)"/>
    <numFmt numFmtId="169" formatCode="&quot;Rp&quot;#,##0.00_);[Red]\(&quot;Rp&quot;#,##0.00\)"/>
    <numFmt numFmtId="170" formatCode="0.0000%"/>
    <numFmt numFmtId="171" formatCode="_-* #,##0.00_-;\-* #,##0.00_-;_-* &quot;-&quot;_-;_-@_-"/>
    <numFmt numFmtId="172" formatCode="_-&quot;Rp&quot;* #,##0.00_-;\-&quot;Rp&quot;* #,##0.00_-;_-&quot;Rp&quot;* &quot;-&quot;_-;_-@_-"/>
    <numFmt numFmtId="173" formatCode="_-* #,##0_-;\-* #,##0_-;_-* &quot;-&quot;??_-;_-@_-"/>
    <numFmt numFmtId="174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mbria"/>
      <family val="1"/>
      <scheme val="major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b/>
      <sz val="11"/>
      <color indexed="8"/>
      <name val="Cambria"/>
      <family val="1"/>
      <scheme val="major"/>
    </font>
    <font>
      <b/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i/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theme="1"/>
      <name val="Cambria"/>
      <family val="1"/>
      <scheme val="maj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41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6" fontId="2" fillId="0" borderId="0" applyProtection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3" fillId="2" borderId="1" xfId="2" applyNumberFormat="1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left" vertical="center"/>
    </xf>
    <xf numFmtId="4" fontId="5" fillId="3" borderId="1" xfId="2" applyNumberFormat="1" applyFont="1" applyFill="1" applyBorder="1" applyAlignment="1">
      <alignment horizontal="right" vertical="center"/>
    </xf>
    <xf numFmtId="0" fontId="0" fillId="0" borderId="1" xfId="0" applyBorder="1"/>
    <xf numFmtId="4" fontId="3" fillId="3" borderId="1" xfId="2" applyNumberFormat="1" applyFont="1" applyFill="1" applyBorder="1" applyAlignment="1">
      <alignment horizontal="right" vertical="center"/>
    </xf>
    <xf numFmtId="0" fontId="6" fillId="4" borderId="1" xfId="2" applyNumberFormat="1" applyFont="1" applyFill="1" applyBorder="1" applyAlignment="1">
      <alignment horizontal="center" vertical="center"/>
    </xf>
    <xf numFmtId="0" fontId="7" fillId="4" borderId="1" xfId="2" applyNumberFormat="1" applyFont="1" applyFill="1" applyBorder="1" applyAlignment="1">
      <alignment horizontal="center" vertical="center"/>
    </xf>
    <xf numFmtId="0" fontId="4" fillId="4" borderId="1" xfId="2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41" fontId="0" fillId="0" borderId="1" xfId="1" applyFont="1" applyBorder="1"/>
    <xf numFmtId="0" fontId="0" fillId="0" borderId="1" xfId="0" applyBorder="1" applyAlignment="1">
      <alignment horizontal="center"/>
    </xf>
    <xf numFmtId="43" fontId="0" fillId="0" borderId="1" xfId="0" applyNumberFormat="1" applyBorder="1"/>
    <xf numFmtId="0" fontId="0" fillId="0" borderId="1" xfId="0" applyBorder="1" applyAlignment="1">
      <alignment horizontal="center" vertical="center"/>
    </xf>
    <xf numFmtId="41" fontId="0" fillId="0" borderId="0" xfId="1" applyFont="1"/>
    <xf numFmtId="0" fontId="3" fillId="0" borderId="1" xfId="2" applyNumberFormat="1" applyFont="1" applyFill="1" applyBorder="1" applyAlignment="1">
      <alignment horizontal="center" vertical="center"/>
    </xf>
    <xf numFmtId="0" fontId="6" fillId="4" borderId="3" xfId="2" applyNumberFormat="1" applyFont="1" applyFill="1" applyBorder="1" applyAlignment="1">
      <alignment horizontal="center" vertical="center"/>
    </xf>
    <xf numFmtId="0" fontId="6" fillId="0" borderId="0" xfId="2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2" borderId="1" xfId="2" applyNumberFormat="1" applyFont="1" applyFill="1" applyBorder="1" applyAlignment="1">
      <alignment horizontal="center" vertical="center"/>
    </xf>
    <xf numFmtId="4" fontId="3" fillId="0" borderId="1" xfId="2" applyNumberFormat="1" applyFont="1" applyFill="1" applyBorder="1" applyAlignment="1">
      <alignment horizontal="center" vertical="center"/>
    </xf>
    <xf numFmtId="42" fontId="3" fillId="2" borderId="3" xfId="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2" fontId="3" fillId="0" borderId="0" xfId="2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2" fontId="8" fillId="0" borderId="3" xfId="0" applyNumberFormat="1" applyFont="1" applyBorder="1"/>
    <xf numFmtId="0" fontId="8" fillId="0" borderId="1" xfId="0" applyFont="1" applyBorder="1"/>
    <xf numFmtId="0" fontId="3" fillId="2" borderId="6" xfId="2" applyNumberFormat="1" applyFont="1" applyFill="1" applyBorder="1" applyAlignment="1">
      <alignment horizontal="center" vertical="center"/>
    </xf>
    <xf numFmtId="0" fontId="4" fillId="2" borderId="6" xfId="2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42" fontId="8" fillId="0" borderId="7" xfId="0" applyNumberFormat="1" applyFont="1" applyBorder="1"/>
    <xf numFmtId="42" fontId="8" fillId="0" borderId="1" xfId="0" applyNumberFormat="1" applyFont="1" applyBorder="1"/>
    <xf numFmtId="0" fontId="8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2" fontId="8" fillId="0" borderId="1" xfId="0" applyNumberFormat="1" applyFont="1" applyBorder="1" applyAlignment="1">
      <alignment horizontal="center" vertical="center"/>
    </xf>
    <xf numFmtId="42" fontId="0" fillId="0" borderId="0" xfId="0" applyNumberFormat="1"/>
    <xf numFmtId="42" fontId="8" fillId="0" borderId="6" xfId="0" applyNumberFormat="1" applyFont="1" applyBorder="1"/>
    <xf numFmtId="41" fontId="11" fillId="0" borderId="1" xfId="1" applyFont="1" applyFill="1" applyBorder="1"/>
    <xf numFmtId="165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/>
    <xf numFmtId="41" fontId="0" fillId="0" borderId="1" xfId="1" applyFont="1" applyFill="1" applyBorder="1"/>
    <xf numFmtId="165" fontId="11" fillId="0" borderId="1" xfId="0" applyNumberFormat="1" applyFont="1" applyFill="1" applyBorder="1"/>
    <xf numFmtId="165" fontId="0" fillId="0" borderId="1" xfId="3" applyNumberFormat="1" applyFont="1" applyFill="1" applyBorder="1"/>
    <xf numFmtId="165" fontId="1" fillId="0" borderId="1" xfId="0" applyNumberFormat="1" applyFont="1" applyFill="1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165" fontId="9" fillId="2" borderId="1" xfId="0" applyNumberFormat="1" applyFont="1" applyFill="1" applyBorder="1"/>
    <xf numFmtId="165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/>
    <xf numFmtId="165" fontId="0" fillId="2" borderId="1" xfId="3" applyNumberFormat="1" applyFont="1" applyFill="1" applyBorder="1"/>
    <xf numFmtId="165" fontId="0" fillId="2" borderId="1" xfId="0" applyNumberFormat="1" applyFont="1" applyFill="1" applyBorder="1"/>
    <xf numFmtId="0" fontId="0" fillId="2" borderId="0" xfId="0" applyFill="1"/>
    <xf numFmtId="0" fontId="0" fillId="2" borderId="0" xfId="0" applyFill="1" applyAlignment="1">
      <alignment horizontal="center"/>
    </xf>
    <xf numFmtId="165" fontId="0" fillId="2" borderId="0" xfId="0" applyNumberFormat="1" applyFill="1"/>
    <xf numFmtId="164" fontId="0" fillId="2" borderId="0" xfId="0" applyNumberFormat="1" applyFill="1"/>
    <xf numFmtId="0" fontId="12" fillId="2" borderId="1" xfId="0" applyNumberFormat="1" applyFont="1" applyFill="1" applyBorder="1" applyAlignment="1">
      <alignment vertical="center"/>
    </xf>
    <xf numFmtId="9" fontId="12" fillId="2" borderId="1" xfId="0" applyNumberFormat="1" applyFont="1" applyFill="1" applyBorder="1" applyAlignment="1"/>
    <xf numFmtId="9" fontId="12" fillId="2" borderId="1" xfId="0" applyNumberFormat="1" applyFont="1" applyFill="1" applyBorder="1" applyAlignment="1">
      <alignment horizontal="left"/>
    </xf>
    <xf numFmtId="167" fontId="13" fillId="2" borderId="0" xfId="0" applyNumberFormat="1" applyFont="1" applyFill="1" applyBorder="1" applyAlignment="1">
      <alignment horizontal="left"/>
    </xf>
    <xf numFmtId="168" fontId="12" fillId="2" borderId="1" xfId="3" applyNumberFormat="1" applyFont="1" applyFill="1" applyBorder="1" applyAlignment="1"/>
    <xf numFmtId="169" fontId="12" fillId="2" borderId="1" xfId="4" applyNumberFormat="1" applyFont="1" applyFill="1" applyBorder="1" applyAlignment="1"/>
    <xf numFmtId="170" fontId="13" fillId="2" borderId="0" xfId="0" applyNumberFormat="1" applyFont="1" applyFill="1" applyBorder="1" applyAlignment="1"/>
    <xf numFmtId="9" fontId="13" fillId="2" borderId="0" xfId="0" applyNumberFormat="1" applyFont="1" applyFill="1" applyBorder="1" applyAlignment="1"/>
    <xf numFmtId="166" fontId="13" fillId="2" borderId="0" xfId="5" applyNumberFormat="1" applyFont="1" applyFill="1" applyBorder="1" applyAlignment="1"/>
    <xf numFmtId="166" fontId="13" fillId="2" borderId="0" xfId="0" applyNumberFormat="1" applyFont="1" applyFill="1" applyBorder="1" applyAlignment="1"/>
    <xf numFmtId="0" fontId="13" fillId="2" borderId="0" xfId="5" applyNumberFormat="1" applyFont="1" applyFill="1" applyBorder="1" applyAlignment="1"/>
    <xf numFmtId="165" fontId="8" fillId="4" borderId="1" xfId="1" applyNumberFormat="1" applyFont="1" applyFill="1" applyBorder="1" applyAlignment="1">
      <alignment horizontal="left"/>
    </xf>
    <xf numFmtId="165" fontId="8" fillId="4" borderId="1" xfId="1" applyNumberFormat="1" applyFont="1" applyFill="1" applyBorder="1" applyAlignment="1">
      <alignment horizontal="center"/>
    </xf>
    <xf numFmtId="165" fontId="0" fillId="0" borderId="1" xfId="0" quotePrefix="1" applyNumberFormat="1" applyFont="1" applyFill="1" applyBorder="1"/>
    <xf numFmtId="165" fontId="0" fillId="0" borderId="1" xfId="0" applyNumberFormat="1" applyFont="1" applyFill="1" applyBorder="1"/>
    <xf numFmtId="4" fontId="3" fillId="0" borderId="1" xfId="2" applyNumberFormat="1" applyFont="1" applyFill="1" applyBorder="1" applyAlignment="1">
      <alignment horizontal="right" vertical="center"/>
    </xf>
    <xf numFmtId="41" fontId="8" fillId="0" borderId="1" xfId="1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/>
    </xf>
    <xf numFmtId="44" fontId="0" fillId="0" borderId="0" xfId="0" applyNumberFormat="1"/>
    <xf numFmtId="43" fontId="0" fillId="0" borderId="0" xfId="0" applyNumberFormat="1"/>
    <xf numFmtId="0" fontId="12" fillId="2" borderId="6" xfId="0" applyNumberFormat="1" applyFont="1" applyFill="1" applyBorder="1" applyAlignment="1">
      <alignment vertical="center"/>
    </xf>
    <xf numFmtId="10" fontId="12" fillId="2" borderId="6" xfId="5" applyNumberFormat="1" applyFont="1" applyFill="1" applyBorder="1" applyAlignment="1"/>
    <xf numFmtId="166" fontId="12" fillId="2" borderId="6" xfId="5" applyNumberFormat="1" applyFont="1" applyFill="1" applyBorder="1" applyAlignment="1">
      <alignment horizontal="center"/>
    </xf>
    <xf numFmtId="0" fontId="9" fillId="2" borderId="0" xfId="0" applyFont="1" applyFill="1" applyBorder="1" applyAlignment="1"/>
    <xf numFmtId="43" fontId="9" fillId="2" borderId="0" xfId="1" applyNumberFormat="1" applyFont="1" applyFill="1" applyBorder="1"/>
    <xf numFmtId="0" fontId="9" fillId="2" borderId="0" xfId="0" applyFont="1" applyFill="1" applyBorder="1" applyAlignment="1">
      <alignment horizontal="center"/>
    </xf>
    <xf numFmtId="0" fontId="12" fillId="2" borderId="8" xfId="0" applyNumberFormat="1" applyFont="1" applyFill="1" applyBorder="1" applyAlignment="1">
      <alignment vertical="center"/>
    </xf>
    <xf numFmtId="2" fontId="12" fillId="2" borderId="8" xfId="5" applyNumberFormat="1" applyFont="1" applyFill="1" applyBorder="1" applyAlignment="1">
      <alignment horizontal="right"/>
    </xf>
    <xf numFmtId="166" fontId="12" fillId="2" borderId="8" xfId="5" applyNumberFormat="1" applyFont="1" applyFill="1" applyBorder="1" applyAlignment="1">
      <alignment horizontal="center"/>
    </xf>
    <xf numFmtId="43" fontId="0" fillId="0" borderId="1" xfId="1" applyNumberFormat="1" applyFont="1" applyFill="1" applyBorder="1"/>
    <xf numFmtId="165" fontId="9" fillId="0" borderId="0" xfId="0" applyNumberFormat="1" applyFont="1" applyFill="1" applyBorder="1"/>
    <xf numFmtId="1" fontId="1" fillId="0" borderId="1" xfId="1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1" fontId="0" fillId="0" borderId="6" xfId="0" applyNumberFormat="1" applyFont="1" applyFill="1" applyBorder="1" applyAlignment="1">
      <alignment horizontal="center" vertical="center"/>
    </xf>
    <xf numFmtId="165" fontId="8" fillId="4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6" xfId="1" applyNumberFormat="1" applyFont="1" applyFill="1" applyBorder="1" applyAlignment="1">
      <alignment horizontal="center" vertical="center"/>
    </xf>
    <xf numFmtId="2" fontId="0" fillId="0" borderId="1" xfId="1" applyNumberFormat="1" applyFont="1" applyFill="1" applyBorder="1" applyAlignment="1">
      <alignment horizontal="center" vertical="center"/>
    </xf>
    <xf numFmtId="165" fontId="0" fillId="0" borderId="3" xfId="3" applyNumberFormat="1" applyFont="1" applyFill="1" applyBorder="1"/>
    <xf numFmtId="4" fontId="0" fillId="0" borderId="0" xfId="0" applyNumberFormat="1"/>
    <xf numFmtId="42" fontId="3" fillId="2" borderId="1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9" xfId="0" applyBorder="1"/>
    <xf numFmtId="0" fontId="10" fillId="4" borderId="10" xfId="0" applyFont="1" applyFill="1" applyBorder="1" applyAlignment="1">
      <alignment horizontal="center" vertical="center"/>
    </xf>
    <xf numFmtId="0" fontId="0" fillId="0" borderId="2" xfId="0" applyBorder="1"/>
    <xf numFmtId="44" fontId="0" fillId="0" borderId="9" xfId="0" applyNumberFormat="1" applyBorder="1"/>
    <xf numFmtId="165" fontId="8" fillId="0" borderId="1" xfId="1" applyNumberFormat="1" applyFont="1" applyBorder="1" applyAlignment="1">
      <alignment horizontal="center" vertical="center"/>
    </xf>
    <xf numFmtId="165" fontId="0" fillId="0" borderId="0" xfId="0" applyNumberFormat="1"/>
    <xf numFmtId="41" fontId="3" fillId="0" borderId="1" xfId="1" applyFont="1" applyFill="1" applyBorder="1" applyAlignment="1">
      <alignment horizontal="right" vertical="center"/>
    </xf>
    <xf numFmtId="41" fontId="0" fillId="0" borderId="0" xfId="0" applyNumberFormat="1"/>
    <xf numFmtId="44" fontId="9" fillId="0" borderId="0" xfId="0" applyNumberFormat="1" applyFont="1"/>
    <xf numFmtId="171" fontId="0" fillId="0" borderId="0" xfId="1" applyNumberFormat="1" applyFont="1"/>
    <xf numFmtId="0" fontId="14" fillId="2" borderId="1" xfId="0" applyNumberFormat="1" applyFont="1" applyFill="1" applyBorder="1" applyAlignment="1">
      <alignment vertical="center"/>
    </xf>
    <xf numFmtId="9" fontId="14" fillId="2" borderId="1" xfId="0" applyNumberFormat="1" applyFont="1" applyFill="1" applyBorder="1" applyAlignment="1"/>
    <xf numFmtId="0" fontId="14" fillId="2" borderId="6" xfId="0" applyNumberFormat="1" applyFont="1" applyFill="1" applyBorder="1" applyAlignment="1">
      <alignment vertical="center"/>
    </xf>
    <xf numFmtId="10" fontId="14" fillId="2" borderId="6" xfId="5" applyNumberFormat="1" applyFont="1" applyFill="1" applyBorder="1" applyAlignment="1"/>
    <xf numFmtId="9" fontId="14" fillId="2" borderId="1" xfId="0" applyNumberFormat="1" applyFont="1" applyFill="1" applyBorder="1" applyAlignment="1">
      <alignment horizontal="left"/>
    </xf>
    <xf numFmtId="169" fontId="14" fillId="2" borderId="1" xfId="4" applyNumberFormat="1" applyFont="1" applyFill="1" applyBorder="1" applyAlignment="1"/>
    <xf numFmtId="166" fontId="14" fillId="2" borderId="1" xfId="5" applyNumberFormat="1" applyFont="1" applyFill="1" applyBorder="1" applyAlignment="1">
      <alignment horizontal="center"/>
    </xf>
    <xf numFmtId="166" fontId="14" fillId="2" borderId="6" xfId="5" applyNumberFormat="1" applyFont="1" applyFill="1" applyBorder="1" applyAlignment="1">
      <alignment horizontal="center"/>
    </xf>
    <xf numFmtId="42" fontId="0" fillId="0" borderId="1" xfId="1" applyNumberFormat="1" applyFont="1" applyFill="1" applyBorder="1"/>
    <xf numFmtId="42" fontId="0" fillId="0" borderId="1" xfId="1" applyNumberFormat="1" applyFont="1" applyBorder="1" applyAlignment="1">
      <alignment horizontal="right"/>
    </xf>
    <xf numFmtId="42" fontId="1" fillId="0" borderId="1" xfId="1" applyNumberFormat="1" applyFont="1" applyFill="1" applyBorder="1"/>
    <xf numFmtId="9" fontId="0" fillId="0" borderId="0" xfId="0" applyNumberFormat="1"/>
    <xf numFmtId="172" fontId="1" fillId="0" borderId="1" xfId="1" applyNumberFormat="1" applyFont="1" applyFill="1" applyBorder="1"/>
    <xf numFmtId="9" fontId="0" fillId="5" borderId="0" xfId="0" applyNumberFormat="1" applyFill="1"/>
    <xf numFmtId="173" fontId="0" fillId="0" borderId="1" xfId="1" applyNumberFormat="1" applyFont="1" applyFill="1" applyBorder="1"/>
    <xf numFmtId="42" fontId="0" fillId="0" borderId="0" xfId="1" applyNumberFormat="1" applyFont="1"/>
    <xf numFmtId="165" fontId="15" fillId="4" borderId="1" xfId="1" applyNumberFormat="1" applyFont="1" applyFill="1" applyBorder="1" applyAlignment="1">
      <alignment horizontal="center"/>
    </xf>
    <xf numFmtId="42" fontId="0" fillId="0" borderId="1" xfId="1" applyNumberFormat="1" applyFont="1" applyBorder="1" applyAlignment="1">
      <alignment horizontal="center"/>
    </xf>
    <xf numFmtId="42" fontId="0" fillId="2" borderId="1" xfId="0" applyNumberFormat="1" applyFill="1" applyBorder="1"/>
    <xf numFmtId="42" fontId="0" fillId="0" borderId="1" xfId="0" applyNumberFormat="1" applyBorder="1"/>
    <xf numFmtId="4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174" fontId="0" fillId="0" borderId="1" xfId="1" applyNumberFormat="1" applyFont="1" applyBorder="1" applyAlignment="1">
      <alignment horizontal="right"/>
    </xf>
    <xf numFmtId="174" fontId="0" fillId="0" borderId="0" xfId="0" applyNumberFormat="1"/>
    <xf numFmtId="42" fontId="0" fillId="0" borderId="1" xfId="1" applyNumberFormat="1" applyFont="1" applyBorder="1"/>
    <xf numFmtId="0" fontId="0" fillId="0" borderId="2" xfId="0" applyBorder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1" xfId="3" applyNumberFormat="1" applyFont="1" applyFill="1" applyBorder="1"/>
    <xf numFmtId="10" fontId="0" fillId="5" borderId="0" xfId="6" applyNumberFormat="1" applyFont="1" applyFill="1"/>
    <xf numFmtId="10" fontId="0" fillId="5" borderId="0" xfId="0" applyNumberFormat="1" applyFill="1"/>
    <xf numFmtId="0" fontId="0" fillId="0" borderId="0" xfId="0" applyBorder="1" applyAlignment="1">
      <alignment horizontal="center" vertical="center"/>
    </xf>
    <xf numFmtId="174" fontId="0" fillId="0" borderId="0" xfId="1" applyNumberFormat="1" applyFont="1" applyBorder="1" applyAlignment="1">
      <alignment horizontal="right"/>
    </xf>
    <xf numFmtId="165" fontId="8" fillId="2" borderId="0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 vertical="center"/>
    </xf>
    <xf numFmtId="0" fontId="16" fillId="2" borderId="0" xfId="0" applyFont="1" applyFill="1" applyBorder="1"/>
    <xf numFmtId="0" fontId="1" fillId="2" borderId="1" xfId="0" applyFont="1" applyFill="1" applyBorder="1" applyAlignment="1">
      <alignment horizontal="center" vertical="center"/>
    </xf>
    <xf numFmtId="174" fontId="1" fillId="2" borderId="1" xfId="1" applyNumberFormat="1" applyFont="1" applyFill="1" applyBorder="1" applyAlignment="1">
      <alignment horizontal="right"/>
    </xf>
    <xf numFmtId="174" fontId="1" fillId="2" borderId="0" xfId="1" applyNumberFormat="1" applyFont="1" applyFill="1" applyBorder="1" applyAlignment="1">
      <alignment horizontal="right"/>
    </xf>
    <xf numFmtId="172" fontId="0" fillId="0" borderId="1" xfId="1" applyNumberFormat="1" applyFont="1" applyBorder="1" applyAlignment="1">
      <alignment horizontal="right"/>
    </xf>
    <xf numFmtId="172" fontId="1" fillId="2" borderId="1" xfId="1" applyNumberFormat="1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3" fillId="2" borderId="3" xfId="2" applyNumberFormat="1" applyFont="1" applyFill="1" applyBorder="1" applyAlignment="1">
      <alignment horizontal="center" vertical="center"/>
    </xf>
    <xf numFmtId="0" fontId="3" fillId="2" borderId="4" xfId="2" applyNumberFormat="1" applyFont="1" applyFill="1" applyBorder="1" applyAlignment="1">
      <alignment horizontal="center" vertical="center"/>
    </xf>
    <xf numFmtId="0" fontId="3" fillId="2" borderId="5" xfId="2" applyNumberFormat="1" applyFont="1" applyFill="1" applyBorder="1" applyAlignment="1">
      <alignment horizontal="center" vertical="center"/>
    </xf>
  </cellXfs>
  <cellStyles count="7">
    <cellStyle name="Comma" xfId="3" builtinId="3"/>
    <cellStyle name="Comma [0]" xfId="1" builtinId="6"/>
    <cellStyle name="Comma 2 10" xfId="5"/>
    <cellStyle name="Currency [0]" xfId="4" builtinId="7"/>
    <cellStyle name="Normal" xfId="0" builtinId="0"/>
    <cellStyle name="Normal 7" xfId="2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Grafik NPV </a:t>
            </a:r>
            <a:r>
              <a:rPr lang="en-US" sz="1800" b="1" i="0" u="none" strike="noStrike" baseline="0">
                <a:effectLst/>
              </a:rPr>
              <a:t>Alat Angkut 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NPV Beli langsung</c:v>
          </c:tx>
          <c:dLbls>
            <c:dLbl>
              <c:idx val="0"/>
              <c:layout>
                <c:manualLayout>
                  <c:x val="-1.1065005308879222E-2"/>
                  <c:y val="5.609491082234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397417816923824E-2"/>
                  <c:y val="6.90398902428831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1350848375157697E-2"/>
                  <c:y val="6.47248971027029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8441675514798647E-3"/>
                  <c:y val="-8.62998628036039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213001061775851E-2"/>
                  <c:y val="3.8834938261621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3.0204612218021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NPV!$A$5:$A$10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NPV!$C$5:$C$10</c:f>
              <c:numCache>
                <c:formatCode>_("Rp"* #,##0_);_("Rp"* \(#,##0\);_("Rp"* "-"_);_(@_)</c:formatCode>
                <c:ptCount val="6"/>
                <c:pt idx="0">
                  <c:v>-33004000000</c:v>
                </c:pt>
                <c:pt idx="1">
                  <c:v>144095627536.90906</c:v>
                </c:pt>
                <c:pt idx="2">
                  <c:v>112353533814.54543</c:v>
                </c:pt>
                <c:pt idx="3">
                  <c:v>97459200068.069092</c:v>
                </c:pt>
                <c:pt idx="4">
                  <c:v>47980022481.797684</c:v>
                </c:pt>
                <c:pt idx="5">
                  <c:v>62865110844.142525</c:v>
                </c:pt>
              </c:numCache>
            </c:numRef>
          </c:val>
          <c:smooth val="0"/>
        </c:ser>
        <c:ser>
          <c:idx val="1"/>
          <c:order val="1"/>
          <c:tx>
            <c:v>NPV Sewa</c:v>
          </c:tx>
          <c:dLbls>
            <c:dLbl>
              <c:idx val="0"/>
              <c:layout>
                <c:manualLayout>
                  <c:x val="0"/>
                  <c:y val="-1.29449794205406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8725314183123879E-2"/>
                  <c:y val="-5.07936507936508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3513025921735273E-2"/>
                  <c:y val="-6.37385644187704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9506680823677835E-2"/>
                  <c:y val="-6.04099039625227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2023170876209019E-2"/>
                  <c:y val="-6.3245567958423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6.472489710270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NPV!$A$5:$A$10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NPV!$H$5:$H$10</c:f>
              <c:numCache>
                <c:formatCode>_("Rp"* #,##0_);_("Rp"* \(#,##0\);_("Rp"* "-"_);_(@_)</c:formatCode>
                <c:ptCount val="6"/>
                <c:pt idx="0">
                  <c:v>-34132176000</c:v>
                </c:pt>
                <c:pt idx="1">
                  <c:v>146383035954.54544</c:v>
                </c:pt>
                <c:pt idx="2">
                  <c:v>114432996012.39668</c:v>
                </c:pt>
                <c:pt idx="3">
                  <c:v>99349620247.933853</c:v>
                </c:pt>
                <c:pt idx="4">
                  <c:v>49698586281.674736</c:v>
                </c:pt>
                <c:pt idx="5">
                  <c:v>64427441571.303474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58016"/>
        <c:axId val="126095296"/>
      </c:lineChart>
      <c:catAx>
        <c:axId val="12635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095296"/>
        <c:crosses val="autoZero"/>
        <c:auto val="1"/>
        <c:lblAlgn val="ctr"/>
        <c:lblOffset val="100"/>
        <c:noMultiLvlLbl val="0"/>
      </c:catAx>
      <c:valAx>
        <c:axId val="126095296"/>
        <c:scaling>
          <c:orientation val="minMax"/>
          <c:min val="-60000000000"/>
        </c:scaling>
        <c:delete val="0"/>
        <c:axPos val="l"/>
        <c:majorGridlines/>
        <c:numFmt formatCode="_(&quot;Rp&quot;* #,##0_);_(&quot;Rp&quot;* \(#,##0\);_(&quot;Rp&quot;* &quot;-&quot;_);_(@_)" sourceLinked="1"/>
        <c:majorTickMark val="none"/>
        <c:minorTickMark val="none"/>
        <c:tickLblPos val="nextTo"/>
        <c:spPr>
          <a:ln w="9525">
            <a:noFill/>
          </a:ln>
        </c:spPr>
        <c:crossAx val="1263580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Grafik NPV </a:t>
            </a:r>
            <a:r>
              <a:rPr lang="en-US" sz="1800" b="1" i="0" u="none" strike="noStrike" baseline="0">
                <a:effectLst/>
              </a:rPr>
              <a:t>Alat Gali-Muat </a:t>
            </a:r>
            <a:endParaRPr lang="en-US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NPV Beli langsung</c:v>
          </c:tx>
          <c:dLbls>
            <c:dLbl>
              <c:idx val="0"/>
              <c:layout>
                <c:manualLayout>
                  <c:x val="-1.1065005308879187E-2"/>
                  <c:y val="2.15749657009009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397417816923824E-2"/>
                  <c:y val="6.90398902428831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7662513272197969E-2"/>
                  <c:y val="4.3149591638562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8441675514798647E-3"/>
                  <c:y val="-8.62998628036039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213001061775851E-2"/>
                  <c:y val="3.8834938261621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3.0204612218021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NPV!$A$5:$A$10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NPV!$C$17:$C$22</c:f>
              <c:numCache>
                <c:formatCode>_("Rp"* #,##0_);_("Rp"* \(#,##0\);_("Rp"* "-"_);_(@_)</c:formatCode>
                <c:ptCount val="6"/>
                <c:pt idx="0">
                  <c:v>-15416368029.6</c:v>
                </c:pt>
                <c:pt idx="1">
                  <c:v>149564370950.18182</c:v>
                </c:pt>
                <c:pt idx="2">
                  <c:v>117325118735.70247</c:v>
                </c:pt>
                <c:pt idx="3">
                  <c:v>101978822723.6664</c:v>
                </c:pt>
                <c:pt idx="4">
                  <c:v>52088770350.522499</c:v>
                </c:pt>
                <c:pt idx="5">
                  <c:v>66600336179.346901</c:v>
                </c:pt>
              </c:numCache>
            </c:numRef>
          </c:val>
          <c:smooth val="0"/>
        </c:ser>
        <c:ser>
          <c:idx val="1"/>
          <c:order val="1"/>
          <c:tx>
            <c:v>NPV Sewa</c:v>
          </c:tx>
          <c:dLbls>
            <c:dLbl>
              <c:idx val="0"/>
              <c:layout>
                <c:manualLayout>
                  <c:x val="0"/>
                  <c:y val="-1.29449794205406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8725305580015379E-2"/>
                  <c:y val="-2.49036261571486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3513025921735273E-2"/>
                  <c:y val="-6.37385644187704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9506680823677835E-2"/>
                  <c:y val="-6.04099039625227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3.2023170876209019E-2"/>
                  <c:y val="-6.3245567958423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6.4724897102702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NPV!$A$5:$A$10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NPV!$H$17:$H$22</c:f>
              <c:numCache>
                <c:formatCode>_("Rp"* #,##0_);_("Rp"* \(#,##0\);_("Rp"* "-"_);_(@_)</c:formatCode>
                <c:ptCount val="6"/>
                <c:pt idx="0">
                  <c:v>-43622452500</c:v>
                </c:pt>
                <c:pt idx="1">
                  <c:v>150481731477.27271</c:v>
                </c:pt>
                <c:pt idx="2">
                  <c:v>118159082851.23965</c:v>
                </c:pt>
                <c:pt idx="3">
                  <c:v>102736971919.60928</c:v>
                </c:pt>
                <c:pt idx="4">
                  <c:v>52777996892.288765</c:v>
                </c:pt>
                <c:pt idx="5">
                  <c:v>67226905762.770775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61088"/>
        <c:axId val="126097024"/>
      </c:lineChart>
      <c:catAx>
        <c:axId val="12636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6097024"/>
        <c:crosses val="autoZero"/>
        <c:auto val="1"/>
        <c:lblAlgn val="ctr"/>
        <c:lblOffset val="100"/>
        <c:noMultiLvlLbl val="0"/>
      </c:catAx>
      <c:valAx>
        <c:axId val="126097024"/>
        <c:scaling>
          <c:orientation val="minMax"/>
        </c:scaling>
        <c:delete val="0"/>
        <c:axPos val="l"/>
        <c:majorGridlines/>
        <c:numFmt formatCode="_(&quot;Rp&quot;* #,##0_);_(&quot;Rp&quot;* \(#,##0\);_(&quot;Rp&quot;* &quot;-&quot;_);_(@_)" sourceLinked="1"/>
        <c:majorTickMark val="none"/>
        <c:minorTickMark val="none"/>
        <c:tickLblPos val="nextTo"/>
        <c:spPr>
          <a:ln w="9525">
            <a:noFill/>
          </a:ln>
        </c:spPr>
        <c:crossAx val="12636108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NPV Alat Berat</a:t>
            </a:r>
          </a:p>
        </c:rich>
      </c:tx>
      <c:layout/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IRR Beli Lngsung</c:v>
          </c:tx>
          <c:dLbls>
            <c:dLbl>
              <c:idx val="0"/>
              <c:layout>
                <c:manualLayout>
                  <c:x val="9.0701519452925528E-3"/>
                  <c:y val="-1.13317388022458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Rp472,141,050,909.82</a:t>
                    </a:r>
                  </a:p>
                  <a:p>
                    <a:r>
                      <a:rPr lang="en-US"/>
                      <a:t>Alat Gali</a:t>
                    </a:r>
                    <a:r>
                      <a:rPr lang="en-US" baseline="0"/>
                      <a:t>-Muat</a:t>
                    </a:r>
                    <a:r>
                      <a:rPr lang="en-US"/>
                      <a:t>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7.5805782243835607E-2"/>
                  <c:y val="-0.1035411870496483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Rp431,749,494,745.46</a:t>
                    </a:r>
                  </a:p>
                  <a:p>
                    <a:r>
                      <a:rPr lang="en-US"/>
                      <a:t>Alat Angkut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NPV!$L$6:$L$7</c:f>
              <c:numCache>
                <c:formatCode>_-"Rp"* #.##000_-;\-"Rp"* #.##000_-;_-"Rp"* "-"_-;_-@_-</c:formatCode>
                <c:ptCount val="2"/>
                <c:pt idx="0">
                  <c:v>472141050909.82013</c:v>
                </c:pt>
                <c:pt idx="1">
                  <c:v>431749494745.46375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89696"/>
        <c:axId val="127256256"/>
      </c:lineChart>
      <c:lineChart>
        <c:grouping val="stacked"/>
        <c:varyColors val="0"/>
        <c:ser>
          <c:idx val="1"/>
          <c:order val="1"/>
          <c:tx>
            <c:v>IRR Sewa</c:v>
          </c:tx>
          <c:dLbls>
            <c:dLbl>
              <c:idx val="0"/>
              <c:layout>
                <c:manualLayout>
                  <c:x val="-0.15963718820861678"/>
                  <c:y val="6.7988350921356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Rp447,760,236,403.18</a:t>
                    </a:r>
                  </a:p>
                  <a:p>
                    <a:r>
                      <a:rPr lang="en-US"/>
                      <a:t>Alat</a:t>
                    </a:r>
                    <a:r>
                      <a:rPr lang="en-US" baseline="0"/>
                      <a:t> Gali-Muat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10340136054421768"/>
                  <c:y val="5.28800598157347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Rp440,159,504,067.85</a:t>
                    </a:r>
                  </a:p>
                  <a:p>
                    <a:r>
                      <a:rPr lang="en-US"/>
                      <a:t>Alat Angkut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NPV!$M$6:$M$7</c:f>
              <c:numCache>
                <c:formatCode>_-"Rp"* #.##000_-;\-"Rp"* #.##000_-;_-"Rp"* "-"_-;_-@_-</c:formatCode>
                <c:ptCount val="2"/>
                <c:pt idx="0">
                  <c:v>447760236403.18115</c:v>
                </c:pt>
                <c:pt idx="1">
                  <c:v>440159504067.85419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90720"/>
        <c:axId val="127256832"/>
      </c:lineChart>
      <c:catAx>
        <c:axId val="127389696"/>
        <c:scaling>
          <c:orientation val="minMax"/>
        </c:scaling>
        <c:delete val="1"/>
        <c:axPos val="b"/>
        <c:majorTickMark val="none"/>
        <c:minorTickMark val="none"/>
        <c:tickLblPos val="nextTo"/>
        <c:crossAx val="127256256"/>
        <c:crossesAt val="435999999999.99994"/>
        <c:auto val="1"/>
        <c:lblAlgn val="ctr"/>
        <c:lblOffset val="100"/>
        <c:noMultiLvlLbl val="0"/>
      </c:catAx>
      <c:valAx>
        <c:axId val="127256256"/>
        <c:scaling>
          <c:orientation val="minMax"/>
        </c:scaling>
        <c:delete val="0"/>
        <c:axPos val="l"/>
        <c:majorGridlines/>
        <c:numFmt formatCode="_-&quot;Rp&quot;* #.##000_-;\-&quot;Rp&quot;* #.##000_-;_-&quot;Rp&quot;* &quot;-&quot;_-;_-@_-" sourceLinked="1"/>
        <c:majorTickMark val="none"/>
        <c:minorTickMark val="none"/>
        <c:tickLblPos val="nextTo"/>
        <c:spPr>
          <a:ln w="9525">
            <a:noFill/>
          </a:ln>
        </c:spPr>
        <c:crossAx val="127389696"/>
        <c:crosses val="autoZero"/>
        <c:crossBetween val="between"/>
        <c:majorUnit val="20000000000"/>
      </c:valAx>
      <c:valAx>
        <c:axId val="127256832"/>
        <c:scaling>
          <c:orientation val="minMax"/>
        </c:scaling>
        <c:delete val="0"/>
        <c:axPos val="r"/>
        <c:numFmt formatCode="_-&quot;Rp&quot;* #.##000_-;\-&quot;Rp&quot;* #.##000_-;_-&quot;Rp&quot;* &quot;-&quot;_-;_-@_-" sourceLinked="1"/>
        <c:majorTickMark val="out"/>
        <c:minorTickMark val="none"/>
        <c:tickLblPos val="nextTo"/>
        <c:crossAx val="127390720"/>
        <c:crosses val="max"/>
        <c:crossBetween val="between"/>
        <c:majorUnit val="4000000000"/>
      </c:valAx>
      <c:catAx>
        <c:axId val="127390720"/>
        <c:scaling>
          <c:orientation val="minMax"/>
        </c:scaling>
        <c:delete val="1"/>
        <c:axPos val="b"/>
        <c:majorTickMark val="out"/>
        <c:minorTickMark val="none"/>
        <c:tickLblPos val="nextTo"/>
        <c:crossAx val="12725683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IRR Alat Berat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IRR Beli Lngsung</c:v>
          </c:tx>
          <c:dLbls>
            <c:dLbl>
              <c:idx val="0"/>
              <c:layout>
                <c:manualLayout>
                  <c:x val="-8.8520055325034583E-2"/>
                  <c:y val="-0.1328903654485049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446.6%</a:t>
                    </a:r>
                  </a:p>
                  <a:p>
                    <a:r>
                      <a:rPr lang="en-US"/>
                      <a:t>Alat</a:t>
                    </a:r>
                    <a:r>
                      <a:rPr lang="en-US" baseline="0"/>
                      <a:t> Angkut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2987551867220923E-3"/>
                  <c:y val="2.65780730897009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1,054.9%</a:t>
                    </a:r>
                  </a:p>
                  <a:p>
                    <a:r>
                      <a:rPr lang="en-US"/>
                      <a:t>Alat Gali-Muat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IRR!$K$6:$K$7</c:f>
              <c:numCache>
                <c:formatCode>#,#00%</c:formatCode>
                <c:ptCount val="2"/>
                <c:pt idx="0">
                  <c:v>4.4660000000000002</c:v>
                </c:pt>
                <c:pt idx="1">
                  <c:v>10.539438496905328</c:v>
                </c:pt>
              </c:numCache>
            </c:numRef>
          </c:val>
          <c:smooth val="0"/>
        </c:ser>
        <c:ser>
          <c:idx val="1"/>
          <c:order val="1"/>
          <c:tx>
            <c:v>IRR Sewa</c:v>
          </c:tx>
          <c:dLbls>
            <c:dLbl>
              <c:idx val="0"/>
              <c:layout>
                <c:manualLayout>
                  <c:x val="-6.6390041493775878E-2"/>
                  <c:y val="9.30232558139534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366.4%</a:t>
                    </a:r>
                  </a:p>
                  <a:p>
                    <a:r>
                      <a:rPr lang="en-US"/>
                      <a:t>Alat</a:t>
                    </a:r>
                    <a:r>
                      <a:rPr lang="en-US" baseline="0"/>
                      <a:t> Gali-Muat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0"/>
                  <c:y val="2.65780730897009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458.4%</a:t>
                    </a:r>
                  </a:p>
                  <a:p>
                    <a:r>
                      <a:rPr lang="en-US"/>
                      <a:t>Alat Angkut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IRR!$L$5:$L$6</c:f>
              <c:numCache>
                <c:formatCode>#,#00%</c:formatCode>
                <c:ptCount val="2"/>
                <c:pt idx="0">
                  <c:v>3.6640897998705757</c:v>
                </c:pt>
                <c:pt idx="1">
                  <c:v>4.5836649006111294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668800"/>
        <c:axId val="127258560"/>
      </c:lineChart>
      <c:catAx>
        <c:axId val="126668800"/>
        <c:scaling>
          <c:orientation val="minMax"/>
        </c:scaling>
        <c:delete val="1"/>
        <c:axPos val="b"/>
        <c:majorTickMark val="none"/>
        <c:minorTickMark val="none"/>
        <c:tickLblPos val="nextTo"/>
        <c:crossAx val="127258560"/>
        <c:crosses val="autoZero"/>
        <c:auto val="1"/>
        <c:lblAlgn val="ctr"/>
        <c:lblOffset val="100"/>
        <c:noMultiLvlLbl val="0"/>
      </c:catAx>
      <c:valAx>
        <c:axId val="127258560"/>
        <c:scaling>
          <c:orientation val="minMax"/>
        </c:scaling>
        <c:delete val="0"/>
        <c:axPos val="l"/>
        <c:majorGridlines/>
        <c:numFmt formatCode="#,#00%" sourceLinked="1"/>
        <c:majorTickMark val="none"/>
        <c:minorTickMark val="none"/>
        <c:tickLblPos val="nextTo"/>
        <c:spPr>
          <a:ln w="9525">
            <a:noFill/>
          </a:ln>
        </c:spPr>
        <c:crossAx val="1266688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466724</xdr:colOff>
      <xdr:row>3</xdr:row>
      <xdr:rowOff>57150</xdr:rowOff>
    </xdr:from>
    <xdr:to>
      <xdr:col>31</xdr:col>
      <xdr:colOff>38100</xdr:colOff>
      <xdr:row>18</xdr:row>
      <xdr:rowOff>142876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28575</xdr:colOff>
      <xdr:row>19</xdr:row>
      <xdr:rowOff>95250</xdr:rowOff>
    </xdr:from>
    <xdr:to>
      <xdr:col>31</xdr:col>
      <xdr:colOff>209551</xdr:colOff>
      <xdr:row>34</xdr:row>
      <xdr:rowOff>180976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285750</xdr:colOff>
      <xdr:row>10</xdr:row>
      <xdr:rowOff>1</xdr:rowOff>
    </xdr:from>
    <xdr:to>
      <xdr:col>15</xdr:col>
      <xdr:colOff>314325</xdr:colOff>
      <xdr:row>24</xdr:row>
      <xdr:rowOff>114300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447675</xdr:colOff>
      <xdr:row>13</xdr:row>
      <xdr:rowOff>161924</xdr:rowOff>
    </xdr:from>
    <xdr:to>
      <xdr:col>14</xdr:col>
      <xdr:colOff>0</xdr:colOff>
      <xdr:row>28</xdr:row>
      <xdr:rowOff>171449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topLeftCell="A12" zoomScaleNormal="100" workbookViewId="0">
      <selection activeCell="A31" sqref="A31:D34"/>
    </sheetView>
  </sheetViews>
  <sheetFormatPr defaultRowHeight="15" x14ac:dyDescent="0.25"/>
  <cols>
    <col min="1" max="1" width="9.140625" customWidth="1"/>
    <col min="2" max="2" width="30.7109375" customWidth="1"/>
    <col min="3" max="3" width="25.7109375" customWidth="1"/>
    <col min="4" max="4" width="22" customWidth="1"/>
    <col min="5" max="5" width="20" customWidth="1"/>
    <col min="6" max="6" width="19" customWidth="1"/>
    <col min="7" max="7" width="21.85546875" customWidth="1"/>
  </cols>
  <sheetData>
    <row r="2" spans="1:7" x14ac:dyDescent="0.25">
      <c r="A2" s="154" t="s">
        <v>23</v>
      </c>
      <c r="B2" s="154"/>
      <c r="C2" s="154"/>
      <c r="D2" s="154"/>
    </row>
    <row r="3" spans="1:7" x14ac:dyDescent="0.25">
      <c r="A3" s="6" t="s">
        <v>4</v>
      </c>
      <c r="B3" s="8" t="s">
        <v>5</v>
      </c>
      <c r="C3" s="6" t="s">
        <v>6</v>
      </c>
      <c r="D3" s="6" t="s">
        <v>2</v>
      </c>
    </row>
    <row r="4" spans="1:7" x14ac:dyDescent="0.25">
      <c r="A4" s="1">
        <v>1</v>
      </c>
      <c r="B4" s="9" t="s">
        <v>7</v>
      </c>
      <c r="C4" s="5">
        <v>925000000</v>
      </c>
      <c r="D4" s="1" t="s">
        <v>1</v>
      </c>
      <c r="E4" s="14">
        <f>C4*8</f>
        <v>7400000000</v>
      </c>
    </row>
    <row r="5" spans="1:7" x14ac:dyDescent="0.25">
      <c r="A5" s="11">
        <v>2</v>
      </c>
      <c r="B5" s="4" t="s">
        <v>14</v>
      </c>
      <c r="C5" s="10">
        <f>0.1*C4</f>
        <v>92500000</v>
      </c>
      <c r="D5" s="1" t="s">
        <v>1</v>
      </c>
    </row>
    <row r="6" spans="1:7" x14ac:dyDescent="0.25">
      <c r="A6" s="1">
        <v>3</v>
      </c>
      <c r="B6" s="4" t="s">
        <v>8</v>
      </c>
      <c r="C6" s="12">
        <f>C4-C5</f>
        <v>832500000</v>
      </c>
      <c r="D6" s="1" t="s">
        <v>1</v>
      </c>
    </row>
    <row r="7" spans="1:7" x14ac:dyDescent="0.25">
      <c r="A7" s="11">
        <v>4</v>
      </c>
      <c r="B7" s="4" t="s">
        <v>9</v>
      </c>
      <c r="C7" s="3">
        <v>5469.9</v>
      </c>
      <c r="D7" s="13" t="s">
        <v>10</v>
      </c>
      <c r="F7">
        <f>C7/12</f>
        <v>455.82499999999999</v>
      </c>
    </row>
    <row r="8" spans="1:7" x14ac:dyDescent="0.25">
      <c r="A8" s="1">
        <v>5</v>
      </c>
      <c r="B8" s="4" t="s">
        <v>12</v>
      </c>
      <c r="C8" s="4">
        <v>5</v>
      </c>
      <c r="D8" s="13" t="s">
        <v>11</v>
      </c>
    </row>
    <row r="9" spans="1:7" x14ac:dyDescent="0.25">
      <c r="A9" s="11">
        <v>6</v>
      </c>
      <c r="B9" s="4" t="s">
        <v>13</v>
      </c>
      <c r="C9" s="4">
        <f>C8*C7</f>
        <v>27349.5</v>
      </c>
      <c r="D9" s="13" t="s">
        <v>10</v>
      </c>
    </row>
    <row r="10" spans="1:7" x14ac:dyDescent="0.25">
      <c r="A10" s="1">
        <v>7</v>
      </c>
      <c r="B10" s="4" t="s">
        <v>15</v>
      </c>
      <c r="C10" s="12">
        <f>C4/C5</f>
        <v>10</v>
      </c>
      <c r="D10" s="13" t="s">
        <v>17</v>
      </c>
    </row>
    <row r="11" spans="1:7" x14ac:dyDescent="0.25">
      <c r="A11" s="11">
        <v>8</v>
      </c>
      <c r="B11" s="4" t="s">
        <v>16</v>
      </c>
      <c r="C11" s="4">
        <f>1-(((C8-1)*(1-0.1))/(2*C8))</f>
        <v>0.64</v>
      </c>
      <c r="D11" s="13"/>
      <c r="F11" t="s">
        <v>114</v>
      </c>
    </row>
    <row r="12" spans="1:7" x14ac:dyDescent="0.25">
      <c r="A12" s="155" t="s">
        <v>18</v>
      </c>
      <c r="B12" s="156"/>
      <c r="C12" s="156"/>
      <c r="D12" s="157"/>
    </row>
    <row r="13" spans="1:7" x14ac:dyDescent="0.25">
      <c r="A13" s="11">
        <v>1</v>
      </c>
      <c r="B13" s="4" t="s">
        <v>19</v>
      </c>
      <c r="C13" s="12">
        <f>C6/C9</f>
        <v>30439.313332967697</v>
      </c>
      <c r="D13" s="13" t="s">
        <v>20</v>
      </c>
      <c r="E13" s="77">
        <f>C13*C7</f>
        <v>166500000</v>
      </c>
      <c r="F13" s="77">
        <f>E13/12</f>
        <v>13875000</v>
      </c>
      <c r="G13" s="77">
        <f>F13*8</f>
        <v>111000000</v>
      </c>
    </row>
    <row r="14" spans="1:7" x14ac:dyDescent="0.25">
      <c r="A14" s="11">
        <v>2</v>
      </c>
      <c r="B14" s="4" t="s">
        <v>21</v>
      </c>
      <c r="C14" s="12">
        <f>(C11*C4*0.8)/C7</f>
        <v>86582.935702663672</v>
      </c>
      <c r="D14" s="13" t="s">
        <v>20</v>
      </c>
      <c r="E14" s="77">
        <f>E13*8</f>
        <v>1332000000</v>
      </c>
      <c r="G14" s="77"/>
    </row>
    <row r="15" spans="1:7" x14ac:dyDescent="0.25">
      <c r="A15" s="11">
        <v>3</v>
      </c>
      <c r="B15" s="4" t="s">
        <v>22</v>
      </c>
      <c r="C15" s="12">
        <f>C13+C14</f>
        <v>117022.24903563136</v>
      </c>
      <c r="D15" s="13" t="s">
        <v>20</v>
      </c>
    </row>
    <row r="17" spans="1:8" x14ac:dyDescent="0.25">
      <c r="A17" s="6" t="s">
        <v>4</v>
      </c>
      <c r="B17" s="7" t="s">
        <v>3</v>
      </c>
      <c r="C17" s="7" t="s">
        <v>32</v>
      </c>
      <c r="D17" s="6" t="s">
        <v>33</v>
      </c>
      <c r="E17" s="16" t="s">
        <v>36</v>
      </c>
      <c r="F17" s="6" t="s">
        <v>2</v>
      </c>
    </row>
    <row r="18" spans="1:8" x14ac:dyDescent="0.25">
      <c r="A18" s="1">
        <v>1</v>
      </c>
      <c r="B18" s="2" t="s">
        <v>31</v>
      </c>
      <c r="C18" s="15" t="s">
        <v>35</v>
      </c>
      <c r="D18" s="23" t="s">
        <v>34</v>
      </c>
      <c r="E18" s="22">
        <f>14000*12</f>
        <v>168000</v>
      </c>
      <c r="F18" s="1" t="s">
        <v>39</v>
      </c>
    </row>
    <row r="19" spans="1:8" x14ac:dyDescent="0.25">
      <c r="A19" s="1">
        <v>2</v>
      </c>
      <c r="B19" s="2" t="s">
        <v>24</v>
      </c>
      <c r="C19" s="20" t="s">
        <v>38</v>
      </c>
      <c r="D19" s="21" t="s">
        <v>43</v>
      </c>
      <c r="E19" s="22">
        <f>44000*0.038</f>
        <v>1672</v>
      </c>
      <c r="F19" s="1" t="s">
        <v>39</v>
      </c>
      <c r="G19" s="17"/>
    </row>
    <row r="20" spans="1:8" x14ac:dyDescent="0.25">
      <c r="A20" s="1">
        <v>3</v>
      </c>
      <c r="B20" s="2" t="s">
        <v>25</v>
      </c>
      <c r="C20" s="20" t="s">
        <v>40</v>
      </c>
      <c r="D20" s="21" t="s">
        <v>41</v>
      </c>
      <c r="E20" s="22">
        <f>46000*0.04</f>
        <v>1840</v>
      </c>
      <c r="F20" s="1" t="s">
        <v>39</v>
      </c>
      <c r="G20" s="18" t="s">
        <v>37</v>
      </c>
      <c r="H20">
        <f>220000/5</f>
        <v>44000</v>
      </c>
    </row>
    <row r="21" spans="1:8" x14ac:dyDescent="0.25">
      <c r="A21" s="1">
        <v>4</v>
      </c>
      <c r="B21" s="2" t="s">
        <v>26</v>
      </c>
      <c r="C21" s="20" t="s">
        <v>49</v>
      </c>
      <c r="D21" s="21" t="s">
        <v>42</v>
      </c>
      <c r="E21" s="22">
        <f>41000*0.03</f>
        <v>1230</v>
      </c>
      <c r="F21" s="1" t="s">
        <v>39</v>
      </c>
      <c r="G21" s="18">
        <f>14/350</f>
        <v>0.04</v>
      </c>
    </row>
    <row r="22" spans="1:8" x14ac:dyDescent="0.25">
      <c r="A22" s="1">
        <v>5</v>
      </c>
      <c r="B22" s="2" t="s">
        <v>27</v>
      </c>
      <c r="C22" s="20" t="s">
        <v>50</v>
      </c>
      <c r="D22" s="21" t="s">
        <v>44</v>
      </c>
      <c r="E22" s="22">
        <f>36000*0.042</f>
        <v>1512</v>
      </c>
      <c r="F22" s="1" t="s">
        <v>39</v>
      </c>
      <c r="G22" s="18"/>
    </row>
    <row r="23" spans="1:8" x14ac:dyDescent="0.25">
      <c r="A23" s="1">
        <v>6</v>
      </c>
      <c r="B23" s="2" t="s">
        <v>28</v>
      </c>
      <c r="C23" s="25"/>
      <c r="D23" s="26" t="s">
        <v>45</v>
      </c>
      <c r="E23" s="27">
        <f>0.5*6254</f>
        <v>3127</v>
      </c>
      <c r="F23" s="28"/>
      <c r="G23" s="18"/>
    </row>
    <row r="24" spans="1:8" x14ac:dyDescent="0.25">
      <c r="A24" s="1">
        <v>7</v>
      </c>
      <c r="B24" s="2" t="s">
        <v>46</v>
      </c>
      <c r="C24" s="25" t="s">
        <v>51</v>
      </c>
      <c r="D24" s="26" t="s">
        <v>47</v>
      </c>
      <c r="E24" s="22">
        <f>37000*0.06</f>
        <v>2220</v>
      </c>
      <c r="F24" s="26" t="s">
        <v>48</v>
      </c>
      <c r="G24" s="24">
        <f>SUM(E19:E22)</f>
        <v>6254</v>
      </c>
    </row>
    <row r="25" spans="1:8" x14ac:dyDescent="0.25">
      <c r="A25" s="1">
        <v>8</v>
      </c>
      <c r="B25" s="2" t="s">
        <v>29</v>
      </c>
      <c r="C25" s="25" t="s">
        <v>52</v>
      </c>
      <c r="D25" s="26" t="s">
        <v>53</v>
      </c>
      <c r="E25" s="22">
        <f>(4300000*10)/3000</f>
        <v>14333.333333333334</v>
      </c>
      <c r="F25" s="26" t="s">
        <v>20</v>
      </c>
      <c r="G25" s="19"/>
    </row>
    <row r="26" spans="1:8" x14ac:dyDescent="0.25">
      <c r="A26" s="1">
        <v>9</v>
      </c>
      <c r="B26" s="2" t="s">
        <v>30</v>
      </c>
      <c r="C26" s="25"/>
      <c r="D26" s="26"/>
      <c r="E26" s="27">
        <f>(0.6*C4)/C9</f>
        <v>20292.875555311799</v>
      </c>
      <c r="F26" s="26" t="s">
        <v>20</v>
      </c>
      <c r="G26" s="19"/>
    </row>
    <row r="27" spans="1:8" x14ac:dyDescent="0.25">
      <c r="A27" s="29">
        <v>10</v>
      </c>
      <c r="B27" s="30" t="s">
        <v>0</v>
      </c>
      <c r="C27" s="31"/>
      <c r="D27" s="32"/>
      <c r="E27" s="33">
        <v>25000</v>
      </c>
      <c r="F27" s="32" t="s">
        <v>20</v>
      </c>
      <c r="G27" s="19"/>
    </row>
    <row r="28" spans="1:8" x14ac:dyDescent="0.25">
      <c r="A28" s="1">
        <v>11</v>
      </c>
      <c r="B28" s="2" t="s">
        <v>55</v>
      </c>
      <c r="C28" s="25"/>
      <c r="D28" s="26"/>
      <c r="E28" s="34">
        <f>SUM(E18:E27)</f>
        <v>239227.20888864514</v>
      </c>
      <c r="F28" s="26" t="s">
        <v>20</v>
      </c>
      <c r="G28" s="19"/>
    </row>
    <row r="29" spans="1:8" x14ac:dyDescent="0.25">
      <c r="G29" s="19"/>
    </row>
    <row r="30" spans="1:8" x14ac:dyDescent="0.25">
      <c r="G30" s="19"/>
    </row>
    <row r="31" spans="1:8" x14ac:dyDescent="0.25">
      <c r="A31" s="35">
        <v>1</v>
      </c>
      <c r="B31" s="36" t="s">
        <v>56</v>
      </c>
      <c r="C31" s="36" t="s">
        <v>57</v>
      </c>
      <c r="D31" s="36" t="s">
        <v>2</v>
      </c>
    </row>
    <row r="32" spans="1:8" x14ac:dyDescent="0.25">
      <c r="A32" s="26">
        <v>2</v>
      </c>
      <c r="B32" s="28" t="s">
        <v>22</v>
      </c>
      <c r="C32" s="34">
        <f>C15</f>
        <v>117022.24903563136</v>
      </c>
      <c r="D32" s="26" t="s">
        <v>20</v>
      </c>
      <c r="E32" s="76">
        <f>C32*C7</f>
        <v>640100000</v>
      </c>
      <c r="F32" s="76">
        <f>E32*5</f>
        <v>3200500000</v>
      </c>
      <c r="G32" s="76">
        <f>F32*8</f>
        <v>25604000000</v>
      </c>
    </row>
    <row r="33" spans="1:7" x14ac:dyDescent="0.25">
      <c r="A33" s="26">
        <v>3</v>
      </c>
      <c r="B33" s="2" t="s">
        <v>55</v>
      </c>
      <c r="C33" s="34">
        <f>E28</f>
        <v>239227.20888864514</v>
      </c>
      <c r="D33" s="26" t="s">
        <v>20</v>
      </c>
      <c r="E33" s="98">
        <f>C33*C7</f>
        <v>1308548909.8999999</v>
      </c>
      <c r="F33" s="14">
        <f>E33*8</f>
        <v>10468391279.199999</v>
      </c>
    </row>
    <row r="34" spans="1:7" x14ac:dyDescent="0.25">
      <c r="A34" s="26">
        <v>4</v>
      </c>
      <c r="B34" s="26" t="s">
        <v>54</v>
      </c>
      <c r="C34" s="37">
        <f>SUM(C32:C33)</f>
        <v>356249.45792427647</v>
      </c>
      <c r="D34" s="26" t="s">
        <v>20</v>
      </c>
      <c r="E34" s="76">
        <f>C34*C7</f>
        <v>1948648909.8999999</v>
      </c>
      <c r="F34" s="76"/>
      <c r="G34" s="76"/>
    </row>
    <row r="35" spans="1:7" x14ac:dyDescent="0.25">
      <c r="C35" s="76">
        <f>C34*C7</f>
        <v>1948648909.8999999</v>
      </c>
      <c r="E35" s="76">
        <f>E34/12</f>
        <v>162387409.15833333</v>
      </c>
      <c r="F35" s="76">
        <f>E35*10</f>
        <v>1623874091.5833333</v>
      </c>
    </row>
    <row r="36" spans="1:7" x14ac:dyDescent="0.25">
      <c r="C36" s="76">
        <f>C35*8</f>
        <v>15589191279.199999</v>
      </c>
    </row>
  </sheetData>
  <mergeCells count="2">
    <mergeCell ref="A2:D2"/>
    <mergeCell ref="A12:D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opLeftCell="A10" workbookViewId="0">
      <selection activeCell="A29" sqref="A29:D32"/>
    </sheetView>
  </sheetViews>
  <sheetFormatPr defaultRowHeight="15" x14ac:dyDescent="0.25"/>
  <cols>
    <col min="2" max="2" width="34.85546875" customWidth="1"/>
    <col min="3" max="3" width="21.5703125" customWidth="1"/>
    <col min="4" max="4" width="29.42578125" customWidth="1"/>
    <col min="5" max="5" width="22.140625" customWidth="1"/>
    <col min="6" max="6" width="19.85546875" customWidth="1"/>
    <col min="7" max="7" width="22.140625" customWidth="1"/>
  </cols>
  <sheetData>
    <row r="2" spans="1:6" x14ac:dyDescent="0.25">
      <c r="A2" s="154" t="s">
        <v>67</v>
      </c>
      <c r="B2" s="154"/>
      <c r="C2" s="154"/>
      <c r="D2" s="154"/>
    </row>
    <row r="3" spans="1:6" x14ac:dyDescent="0.25">
      <c r="A3" s="6" t="s">
        <v>4</v>
      </c>
      <c r="B3" s="8" t="s">
        <v>5</v>
      </c>
      <c r="C3" s="6" t="s">
        <v>6</v>
      </c>
      <c r="D3" s="6" t="s">
        <v>2</v>
      </c>
    </row>
    <row r="4" spans="1:6" x14ac:dyDescent="0.25">
      <c r="A4" s="1">
        <v>1</v>
      </c>
      <c r="B4" s="9" t="s">
        <v>7</v>
      </c>
      <c r="C4" s="14">
        <v>3456584760</v>
      </c>
      <c r="D4" s="1" t="s">
        <v>1</v>
      </c>
      <c r="E4" s="110">
        <f>C4*1</f>
        <v>3456584760</v>
      </c>
    </row>
    <row r="5" spans="1:6" x14ac:dyDescent="0.25">
      <c r="A5" s="11">
        <v>2</v>
      </c>
      <c r="B5" s="4" t="s">
        <v>14</v>
      </c>
      <c r="C5" s="10">
        <f>0.1*C4</f>
        <v>345658476</v>
      </c>
      <c r="D5" s="1" t="s">
        <v>1</v>
      </c>
    </row>
    <row r="6" spans="1:6" x14ac:dyDescent="0.25">
      <c r="A6" s="1">
        <v>3</v>
      </c>
      <c r="B6" s="4" t="s">
        <v>8</v>
      </c>
      <c r="C6" s="12">
        <f>C4-C5</f>
        <v>3110926284</v>
      </c>
      <c r="D6" s="1" t="s">
        <v>1</v>
      </c>
    </row>
    <row r="7" spans="1:6" x14ac:dyDescent="0.25">
      <c r="A7" s="11">
        <v>4</v>
      </c>
      <c r="B7" s="4" t="s">
        <v>9</v>
      </c>
      <c r="C7" s="3">
        <v>5469.9</v>
      </c>
      <c r="D7" s="13" t="s">
        <v>10</v>
      </c>
    </row>
    <row r="8" spans="1:6" x14ac:dyDescent="0.25">
      <c r="A8" s="1">
        <v>5</v>
      </c>
      <c r="B8" s="4" t="s">
        <v>12</v>
      </c>
      <c r="C8" s="4">
        <v>5</v>
      </c>
      <c r="D8" s="13" t="s">
        <v>11</v>
      </c>
    </row>
    <row r="9" spans="1:6" x14ac:dyDescent="0.25">
      <c r="A9" s="11">
        <v>6</v>
      </c>
      <c r="B9" s="4" t="s">
        <v>13</v>
      </c>
      <c r="C9" s="4">
        <f>C8*C7</f>
        <v>27349.5</v>
      </c>
      <c r="D9" s="13" t="s">
        <v>10</v>
      </c>
    </row>
    <row r="10" spans="1:6" x14ac:dyDescent="0.25">
      <c r="A10" s="1">
        <v>7</v>
      </c>
      <c r="B10" s="4" t="s">
        <v>15</v>
      </c>
      <c r="C10" s="12">
        <f>C4/C5</f>
        <v>10</v>
      </c>
      <c r="D10" s="13" t="s">
        <v>17</v>
      </c>
    </row>
    <row r="11" spans="1:6" x14ac:dyDescent="0.25">
      <c r="A11" s="11">
        <v>8</v>
      </c>
      <c r="B11" s="4" t="s">
        <v>16</v>
      </c>
      <c r="C11" s="4">
        <f>1-(((C8-1)*(1-0.1))/(2*C8))</f>
        <v>0.64</v>
      </c>
      <c r="D11" s="13"/>
    </row>
    <row r="12" spans="1:6" x14ac:dyDescent="0.25">
      <c r="A12" s="155" t="s">
        <v>18</v>
      </c>
      <c r="B12" s="156"/>
      <c r="C12" s="156"/>
      <c r="D12" s="157"/>
    </row>
    <row r="13" spans="1:6" x14ac:dyDescent="0.25">
      <c r="A13" s="11">
        <v>1</v>
      </c>
      <c r="B13" s="4" t="s">
        <v>19</v>
      </c>
      <c r="C13" s="12">
        <f>C6/C9</f>
        <v>113747.09899632534</v>
      </c>
      <c r="D13" s="13" t="s">
        <v>20</v>
      </c>
      <c r="E13" s="77">
        <f>C13*C7</f>
        <v>622185256.79999995</v>
      </c>
      <c r="F13" s="77">
        <f>E13/12</f>
        <v>51848771.399999999</v>
      </c>
    </row>
    <row r="14" spans="1:6" x14ac:dyDescent="0.25">
      <c r="A14" s="11">
        <v>2</v>
      </c>
      <c r="B14" s="4" t="s">
        <v>21</v>
      </c>
      <c r="C14" s="12">
        <f>(C11*C4*0.8)/C7</f>
        <v>323547.30381176993</v>
      </c>
      <c r="D14" s="13" t="s">
        <v>20</v>
      </c>
      <c r="E14" s="77">
        <f>E13*2</f>
        <v>1244370513.5999999</v>
      </c>
    </row>
    <row r="15" spans="1:6" x14ac:dyDescent="0.25">
      <c r="A15" s="11">
        <v>3</v>
      </c>
      <c r="B15" s="4" t="s">
        <v>22</v>
      </c>
      <c r="C15" s="12">
        <f>C13+C14</f>
        <v>437294.40280809527</v>
      </c>
      <c r="D15" s="13" t="s">
        <v>20</v>
      </c>
    </row>
    <row r="17" spans="1:7" x14ac:dyDescent="0.25">
      <c r="A17" s="6" t="s">
        <v>4</v>
      </c>
      <c r="B17" s="7" t="s">
        <v>3</v>
      </c>
      <c r="C17" s="7" t="s">
        <v>32</v>
      </c>
      <c r="D17" s="6" t="s">
        <v>33</v>
      </c>
      <c r="E17" s="16" t="s">
        <v>36</v>
      </c>
      <c r="F17" s="6" t="s">
        <v>2</v>
      </c>
    </row>
    <row r="18" spans="1:7" x14ac:dyDescent="0.25">
      <c r="A18" s="1">
        <v>1</v>
      </c>
      <c r="B18" s="2" t="s">
        <v>31</v>
      </c>
      <c r="C18" s="15" t="s">
        <v>35</v>
      </c>
      <c r="D18" s="23" t="s">
        <v>58</v>
      </c>
      <c r="E18" s="22">
        <f>14000*30</f>
        <v>420000</v>
      </c>
      <c r="F18" s="1" t="s">
        <v>39</v>
      </c>
    </row>
    <row r="19" spans="1:7" x14ac:dyDescent="0.25">
      <c r="A19" s="1">
        <v>2</v>
      </c>
      <c r="B19" s="2" t="s">
        <v>24</v>
      </c>
      <c r="C19" s="20" t="s">
        <v>38</v>
      </c>
      <c r="D19" s="21" t="s">
        <v>59</v>
      </c>
      <c r="E19" s="22">
        <f>44000*0.18</f>
        <v>7920</v>
      </c>
      <c r="F19" s="1" t="s">
        <v>39</v>
      </c>
    </row>
    <row r="20" spans="1:7" x14ac:dyDescent="0.25">
      <c r="A20" s="1">
        <v>3</v>
      </c>
      <c r="B20" s="2" t="s">
        <v>25</v>
      </c>
      <c r="C20" s="20" t="s">
        <v>40</v>
      </c>
      <c r="D20" s="21" t="s">
        <v>60</v>
      </c>
      <c r="E20" s="22">
        <f>46000*0.05</f>
        <v>2300</v>
      </c>
      <c r="F20" s="1" t="s">
        <v>39</v>
      </c>
      <c r="G20" s="38">
        <f>SUM(E19:E22)</f>
        <v>16800</v>
      </c>
    </row>
    <row r="21" spans="1:7" x14ac:dyDescent="0.25">
      <c r="A21" s="1">
        <v>4</v>
      </c>
      <c r="B21" s="2" t="s">
        <v>26</v>
      </c>
      <c r="C21" s="20" t="s">
        <v>49</v>
      </c>
      <c r="D21" s="21" t="s">
        <v>61</v>
      </c>
      <c r="E21" s="22">
        <f>41000*0.02</f>
        <v>820</v>
      </c>
      <c r="F21" s="1" t="s">
        <v>39</v>
      </c>
    </row>
    <row r="22" spans="1:7" x14ac:dyDescent="0.25">
      <c r="A22" s="1">
        <v>5</v>
      </c>
      <c r="B22" s="2" t="s">
        <v>27</v>
      </c>
      <c r="C22" s="20" t="s">
        <v>50</v>
      </c>
      <c r="D22" s="21" t="s">
        <v>62</v>
      </c>
      <c r="E22" s="22">
        <f>36000*0.16</f>
        <v>5760</v>
      </c>
      <c r="F22" s="1" t="s">
        <v>39</v>
      </c>
    </row>
    <row r="23" spans="1:7" x14ac:dyDescent="0.25">
      <c r="A23" s="1">
        <v>6</v>
      </c>
      <c r="B23" s="2" t="s">
        <v>28</v>
      </c>
      <c r="C23" s="25"/>
      <c r="D23" s="26" t="s">
        <v>45</v>
      </c>
      <c r="E23" s="27">
        <f>0.5*16800</f>
        <v>8400</v>
      </c>
      <c r="F23" s="28"/>
    </row>
    <row r="24" spans="1:7" x14ac:dyDescent="0.25">
      <c r="A24" s="1">
        <v>7</v>
      </c>
      <c r="B24" s="2" t="s">
        <v>46</v>
      </c>
      <c r="C24" s="25" t="s">
        <v>51</v>
      </c>
      <c r="D24" s="26" t="s">
        <v>63</v>
      </c>
      <c r="E24" s="22">
        <f>37000*0.16</f>
        <v>5920</v>
      </c>
      <c r="F24" s="26" t="s">
        <v>48</v>
      </c>
    </row>
    <row r="25" spans="1:7" x14ac:dyDescent="0.25">
      <c r="A25" s="1">
        <v>8</v>
      </c>
      <c r="B25" s="2" t="s">
        <v>30</v>
      </c>
      <c r="C25" s="25"/>
      <c r="D25" s="26"/>
      <c r="E25" s="27">
        <f>(0.8*C4)/C9</f>
        <v>101108.53244117809</v>
      </c>
      <c r="F25" s="26" t="s">
        <v>20</v>
      </c>
    </row>
    <row r="26" spans="1:7" x14ac:dyDescent="0.25">
      <c r="A26" s="1">
        <v>9</v>
      </c>
      <c r="B26" s="30" t="s">
        <v>0</v>
      </c>
      <c r="C26" s="31"/>
      <c r="D26" s="32"/>
      <c r="E26" s="33">
        <v>25000</v>
      </c>
      <c r="F26" s="32" t="s">
        <v>20</v>
      </c>
    </row>
    <row r="27" spans="1:7" x14ac:dyDescent="0.25">
      <c r="A27" s="1">
        <v>10</v>
      </c>
      <c r="B27" s="2" t="s">
        <v>55</v>
      </c>
      <c r="C27" s="25"/>
      <c r="D27" s="26"/>
      <c r="E27" s="34">
        <f>SUM(E18:E26)</f>
        <v>577228.5324411781</v>
      </c>
      <c r="F27" s="26" t="s">
        <v>20</v>
      </c>
    </row>
    <row r="29" spans="1:7" x14ac:dyDescent="0.25">
      <c r="A29" s="35">
        <v>1</v>
      </c>
      <c r="B29" s="36" t="s">
        <v>56</v>
      </c>
      <c r="C29" s="36" t="s">
        <v>57</v>
      </c>
      <c r="D29" s="36" t="s">
        <v>2</v>
      </c>
    </row>
    <row r="30" spans="1:7" x14ac:dyDescent="0.25">
      <c r="A30" s="26">
        <v>2</v>
      </c>
      <c r="B30" s="28" t="s">
        <v>22</v>
      </c>
      <c r="C30" s="34">
        <f>C15</f>
        <v>437294.40280809527</v>
      </c>
      <c r="D30" s="26" t="s">
        <v>20</v>
      </c>
      <c r="E30" s="76">
        <f>C30*C7</f>
        <v>2391956653.9200001</v>
      </c>
      <c r="F30" s="140">
        <f>E30*5</f>
        <v>11959783269.6</v>
      </c>
      <c r="G30" s="76"/>
    </row>
    <row r="31" spans="1:7" x14ac:dyDescent="0.25">
      <c r="A31" s="26">
        <v>3</v>
      </c>
      <c r="B31" s="2" t="s">
        <v>55</v>
      </c>
      <c r="C31" s="34">
        <f>E27</f>
        <v>577228.5324411781</v>
      </c>
      <c r="D31" s="26" t="s">
        <v>20</v>
      </c>
      <c r="E31" s="98">
        <f>C7*C31</f>
        <v>3157382349.5999999</v>
      </c>
      <c r="F31">
        <f>E31*2</f>
        <v>6314764699.1999998</v>
      </c>
    </row>
    <row r="32" spans="1:7" x14ac:dyDescent="0.25">
      <c r="A32" s="26">
        <v>4</v>
      </c>
      <c r="B32" s="26" t="s">
        <v>54</v>
      </c>
      <c r="C32" s="37">
        <f>SUM(C30:C31)</f>
        <v>1014522.9352492734</v>
      </c>
      <c r="D32" s="26" t="s">
        <v>20</v>
      </c>
      <c r="E32" s="98">
        <f>C32*C7</f>
        <v>5549339003.5200005</v>
      </c>
      <c r="F32" s="14">
        <f>E32/12</f>
        <v>462444916.96000004</v>
      </c>
    </row>
    <row r="33" spans="3:3" x14ac:dyDescent="0.25">
      <c r="C33" s="76">
        <f>C32*C7</f>
        <v>5549339003.5200005</v>
      </c>
    </row>
    <row r="34" spans="3:3" x14ac:dyDescent="0.25">
      <c r="C34" s="76">
        <f>C33*2</f>
        <v>11098678007.040001</v>
      </c>
    </row>
  </sheetData>
  <mergeCells count="2">
    <mergeCell ref="A2:D2"/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topLeftCell="B9" workbookViewId="0">
      <selection activeCell="E28" sqref="E28"/>
    </sheetView>
  </sheetViews>
  <sheetFormatPr defaultRowHeight="15" x14ac:dyDescent="0.25"/>
  <cols>
    <col min="2" max="2" width="27.7109375" customWidth="1"/>
    <col min="3" max="3" width="19.140625" customWidth="1"/>
    <col min="4" max="4" width="21.28515625" customWidth="1"/>
    <col min="5" max="5" width="20.85546875" customWidth="1"/>
    <col min="6" max="6" width="21" customWidth="1"/>
    <col min="7" max="7" width="20.5703125" customWidth="1"/>
    <col min="8" max="8" width="24" customWidth="1"/>
  </cols>
  <sheetData>
    <row r="3" spans="1:11" x14ac:dyDescent="0.25">
      <c r="A3" s="4" t="s">
        <v>9</v>
      </c>
      <c r="B3" s="3">
        <v>5469.9</v>
      </c>
      <c r="C3" s="13" t="s">
        <v>113</v>
      </c>
    </row>
    <row r="4" spans="1:11" x14ac:dyDescent="0.25">
      <c r="D4" s="105"/>
      <c r="E4" s="102"/>
    </row>
    <row r="5" spans="1:11" x14ac:dyDescent="0.25">
      <c r="A5" s="35" t="s">
        <v>129</v>
      </c>
      <c r="B5" s="36" t="s">
        <v>64</v>
      </c>
      <c r="C5" s="36" t="s">
        <v>66</v>
      </c>
      <c r="D5" s="104" t="s">
        <v>2</v>
      </c>
      <c r="E5" s="103"/>
    </row>
    <row r="6" spans="1:11" x14ac:dyDescent="0.25">
      <c r="A6" s="26">
        <v>1</v>
      </c>
      <c r="B6" s="28" t="s">
        <v>23</v>
      </c>
      <c r="C6" s="34">
        <v>156000</v>
      </c>
      <c r="D6" s="100" t="s">
        <v>20</v>
      </c>
      <c r="E6" s="106">
        <f>C6*B3</f>
        <v>853304400</v>
      </c>
      <c r="F6" s="76">
        <f>E6*8</f>
        <v>6826435200</v>
      </c>
      <c r="G6" s="76">
        <f>F6*5</f>
        <v>34132176000</v>
      </c>
      <c r="J6">
        <f>26000*48</f>
        <v>1248000</v>
      </c>
      <c r="K6">
        <f>J6/8</f>
        <v>156000</v>
      </c>
    </row>
    <row r="7" spans="1:11" x14ac:dyDescent="0.25">
      <c r="E7" s="106">
        <f>C9*B3</f>
        <v>8724490500</v>
      </c>
      <c r="F7" s="76">
        <f>E7*1</f>
        <v>8724490500</v>
      </c>
      <c r="G7" s="76">
        <f>F7*5</f>
        <v>43622452500</v>
      </c>
    </row>
    <row r="8" spans="1:11" x14ac:dyDescent="0.25">
      <c r="A8" s="35" t="s">
        <v>129</v>
      </c>
      <c r="B8" s="36" t="s">
        <v>64</v>
      </c>
      <c r="C8" s="36" t="s">
        <v>66</v>
      </c>
      <c r="D8" s="36" t="s">
        <v>2</v>
      </c>
      <c r="E8" s="101"/>
      <c r="J8">
        <f>14500*220</f>
        <v>3190000</v>
      </c>
      <c r="K8">
        <f>J8/2</f>
        <v>1595000</v>
      </c>
    </row>
    <row r="9" spans="1:11" x14ac:dyDescent="0.25">
      <c r="A9" s="26">
        <v>1</v>
      </c>
      <c r="B9" s="2" t="s">
        <v>67</v>
      </c>
      <c r="C9" s="34">
        <v>1595000</v>
      </c>
      <c r="D9" s="26" t="s">
        <v>20</v>
      </c>
    </row>
    <row r="11" spans="1:11" x14ac:dyDescent="0.25">
      <c r="B11" s="154" t="s">
        <v>109</v>
      </c>
      <c r="C11" s="154"/>
      <c r="D11" s="154"/>
    </row>
    <row r="12" spans="1:11" x14ac:dyDescent="0.25">
      <c r="A12" s="6" t="s">
        <v>4</v>
      </c>
      <c r="B12" s="7" t="s">
        <v>3</v>
      </c>
      <c r="C12" s="7" t="s">
        <v>32</v>
      </c>
      <c r="D12" s="6" t="s">
        <v>33</v>
      </c>
      <c r="E12" s="16" t="s">
        <v>36</v>
      </c>
      <c r="F12" s="6" t="s">
        <v>2</v>
      </c>
    </row>
    <row r="13" spans="1:11" x14ac:dyDescent="0.25">
      <c r="A13" s="1">
        <v>1</v>
      </c>
      <c r="B13" s="2" t="s">
        <v>31</v>
      </c>
      <c r="C13" s="15" t="s">
        <v>35</v>
      </c>
      <c r="D13" s="26" t="s">
        <v>34</v>
      </c>
      <c r="E13" s="99">
        <f>14000*12</f>
        <v>168000</v>
      </c>
      <c r="F13" s="1" t="s">
        <v>39</v>
      </c>
    </row>
    <row r="14" spans="1:11" x14ac:dyDescent="0.25">
      <c r="A14" s="1">
        <v>2</v>
      </c>
      <c r="B14" s="2" t="s">
        <v>0</v>
      </c>
      <c r="C14" s="25"/>
      <c r="D14" s="26"/>
      <c r="E14" s="34">
        <v>25000</v>
      </c>
      <c r="F14" s="26" t="s">
        <v>20</v>
      </c>
    </row>
    <row r="15" spans="1:11" x14ac:dyDescent="0.25">
      <c r="A15" s="1">
        <v>3</v>
      </c>
      <c r="B15" s="2" t="s">
        <v>55</v>
      </c>
      <c r="C15" s="25"/>
      <c r="D15" s="26"/>
      <c r="E15" s="34">
        <f>SUM(E13:E14)</f>
        <v>193000</v>
      </c>
      <c r="F15" s="26" t="s">
        <v>20</v>
      </c>
      <c r="G15" s="76">
        <f>E15*B3</f>
        <v>1055690699.9999999</v>
      </c>
      <c r="H15" s="76">
        <f>G15*8</f>
        <v>8445525599.999999</v>
      </c>
    </row>
    <row r="18" spans="1:8" x14ac:dyDescent="0.25">
      <c r="B18" s="154" t="s">
        <v>110</v>
      </c>
      <c r="C18" s="154"/>
      <c r="D18" s="154"/>
    </row>
    <row r="19" spans="1:8" x14ac:dyDescent="0.25">
      <c r="A19" s="6" t="s">
        <v>4</v>
      </c>
      <c r="B19" s="7" t="s">
        <v>3</v>
      </c>
      <c r="C19" s="7" t="s">
        <v>32</v>
      </c>
      <c r="D19" s="6" t="s">
        <v>33</v>
      </c>
      <c r="E19" s="16" t="s">
        <v>36</v>
      </c>
      <c r="F19" s="6" t="s">
        <v>2</v>
      </c>
    </row>
    <row r="20" spans="1:8" x14ac:dyDescent="0.25">
      <c r="A20" s="1">
        <v>1</v>
      </c>
      <c r="B20" s="2" t="s">
        <v>31</v>
      </c>
      <c r="C20" s="15" t="s">
        <v>35</v>
      </c>
      <c r="D20" s="23" t="s">
        <v>58</v>
      </c>
      <c r="E20" s="22">
        <f>14000*30</f>
        <v>420000</v>
      </c>
      <c r="F20" s="1" t="s">
        <v>39</v>
      </c>
    </row>
    <row r="21" spans="1:8" x14ac:dyDescent="0.25">
      <c r="A21" s="1">
        <v>2</v>
      </c>
      <c r="B21" s="2" t="s">
        <v>0</v>
      </c>
      <c r="C21" s="25"/>
      <c r="D21" s="26"/>
      <c r="E21" s="34">
        <v>25000</v>
      </c>
      <c r="F21" s="26" t="s">
        <v>20</v>
      </c>
    </row>
    <row r="22" spans="1:8" x14ac:dyDescent="0.25">
      <c r="A22" s="1">
        <v>3</v>
      </c>
      <c r="B22" s="2" t="s">
        <v>55</v>
      </c>
      <c r="C22" s="25"/>
      <c r="D22" s="26"/>
      <c r="E22" s="34">
        <f>SUM(E20:E21)</f>
        <v>445000</v>
      </c>
      <c r="F22" s="26" t="s">
        <v>20</v>
      </c>
      <c r="G22" s="76">
        <f>E22*B3</f>
        <v>2434105500</v>
      </c>
      <c r="H22" s="76">
        <f>G22*2</f>
        <v>4868211000</v>
      </c>
    </row>
    <row r="24" spans="1:8" x14ac:dyDescent="0.25">
      <c r="C24" t="s">
        <v>116</v>
      </c>
    </row>
    <row r="25" spans="1:8" x14ac:dyDescent="0.25">
      <c r="A25" s="35">
        <v>1</v>
      </c>
      <c r="B25" s="36" t="s">
        <v>56</v>
      </c>
      <c r="C25" s="36" t="s">
        <v>57</v>
      </c>
      <c r="D25" s="36" t="s">
        <v>2</v>
      </c>
    </row>
    <row r="26" spans="1:8" x14ac:dyDescent="0.25">
      <c r="A26" s="26">
        <v>2</v>
      </c>
      <c r="B26" s="28" t="s">
        <v>115</v>
      </c>
      <c r="C26" s="39">
        <v>1595000</v>
      </c>
      <c r="D26" s="26" t="s">
        <v>20</v>
      </c>
    </row>
    <row r="27" spans="1:8" x14ac:dyDescent="0.25">
      <c r="A27" s="26">
        <v>3</v>
      </c>
      <c r="B27" s="2" t="s">
        <v>55</v>
      </c>
      <c r="C27" s="34">
        <v>445000</v>
      </c>
      <c r="D27" s="26" t="s">
        <v>20</v>
      </c>
    </row>
    <row r="28" spans="1:8" x14ac:dyDescent="0.25">
      <c r="C28" s="38">
        <f>SUM(C26:C27)</f>
        <v>2040000</v>
      </c>
    </row>
    <row r="30" spans="1:8" x14ac:dyDescent="0.25">
      <c r="A30" s="35">
        <v>1</v>
      </c>
      <c r="B30" s="36" t="s">
        <v>56</v>
      </c>
      <c r="C30" s="36" t="s">
        <v>57</v>
      </c>
      <c r="D30" s="36" t="s">
        <v>2</v>
      </c>
    </row>
    <row r="31" spans="1:8" x14ac:dyDescent="0.25">
      <c r="A31" s="26">
        <v>2</v>
      </c>
      <c r="B31" s="28" t="s">
        <v>115</v>
      </c>
      <c r="C31" s="39">
        <v>156000</v>
      </c>
      <c r="D31" s="26" t="s">
        <v>20</v>
      </c>
    </row>
    <row r="32" spans="1:8" x14ac:dyDescent="0.25">
      <c r="A32" s="26">
        <v>3</v>
      </c>
      <c r="B32" s="2" t="s">
        <v>55</v>
      </c>
      <c r="C32" s="34">
        <v>193000</v>
      </c>
      <c r="D32" s="26" t="s">
        <v>20</v>
      </c>
    </row>
    <row r="33" spans="3:3" x14ac:dyDescent="0.25">
      <c r="C33" s="38">
        <f>SUM(C31:C32)</f>
        <v>349000</v>
      </c>
    </row>
  </sheetData>
  <mergeCells count="2">
    <mergeCell ref="B11:D11"/>
    <mergeCell ref="B18:D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workbookViewId="0">
      <selection activeCell="E26" sqref="E26"/>
    </sheetView>
  </sheetViews>
  <sheetFormatPr defaultRowHeight="15" x14ac:dyDescent="0.25"/>
  <cols>
    <col min="1" max="1" width="9.85546875" customWidth="1"/>
    <col min="2" max="2" width="15.140625" customWidth="1"/>
  </cols>
  <sheetData>
    <row r="2" spans="1:2" x14ac:dyDescent="0.25">
      <c r="B2">
        <v>14393.3</v>
      </c>
    </row>
    <row r="3" spans="1:2" x14ac:dyDescent="0.25">
      <c r="A3" s="92" t="s">
        <v>107</v>
      </c>
      <c r="B3" s="92" t="s">
        <v>106</v>
      </c>
    </row>
    <row r="4" spans="1:2" x14ac:dyDescent="0.25">
      <c r="A4" s="89">
        <v>1</v>
      </c>
      <c r="B4" s="93">
        <v>75.84</v>
      </c>
    </row>
    <row r="5" spans="1:2" x14ac:dyDescent="0.25">
      <c r="A5" s="89">
        <v>2</v>
      </c>
      <c r="B5" s="93">
        <v>87.79</v>
      </c>
    </row>
    <row r="6" spans="1:2" x14ac:dyDescent="0.25">
      <c r="A6" s="90">
        <v>3</v>
      </c>
      <c r="B6" s="94">
        <v>84.47</v>
      </c>
    </row>
    <row r="7" spans="1:2" x14ac:dyDescent="0.25">
      <c r="A7" s="90">
        <v>4</v>
      </c>
      <c r="B7" s="94">
        <v>86.68</v>
      </c>
    </row>
    <row r="8" spans="1:2" x14ac:dyDescent="0.25">
      <c r="A8" s="90">
        <v>5</v>
      </c>
      <c r="B8" s="94">
        <v>89.74</v>
      </c>
    </row>
    <row r="9" spans="1:2" x14ac:dyDescent="0.25">
      <c r="A9" s="90">
        <v>6</v>
      </c>
      <c r="B9" s="94">
        <v>100.33</v>
      </c>
    </row>
    <row r="10" spans="1:2" x14ac:dyDescent="0.25">
      <c r="A10" s="90">
        <v>7</v>
      </c>
      <c r="B10" s="94">
        <v>115.35</v>
      </c>
    </row>
    <row r="11" spans="1:2" x14ac:dyDescent="0.25">
      <c r="A11" s="90">
        <v>8</v>
      </c>
      <c r="B11" s="94">
        <v>130.99</v>
      </c>
    </row>
    <row r="12" spans="1:2" x14ac:dyDescent="0.25">
      <c r="A12" s="90">
        <v>9</v>
      </c>
      <c r="B12" s="94">
        <v>150.03</v>
      </c>
    </row>
    <row r="13" spans="1:2" x14ac:dyDescent="0.25">
      <c r="A13" s="90">
        <v>10</v>
      </c>
      <c r="B13" s="94">
        <v>161.63</v>
      </c>
    </row>
    <row r="14" spans="1:2" x14ac:dyDescent="0.25">
      <c r="A14" s="90">
        <v>11</v>
      </c>
      <c r="B14" s="94">
        <v>215.01</v>
      </c>
    </row>
    <row r="15" spans="1:2" x14ac:dyDescent="0.25">
      <c r="A15" s="91">
        <v>12</v>
      </c>
      <c r="B15" s="95">
        <v>159.79</v>
      </c>
    </row>
    <row r="16" spans="1:2" x14ac:dyDescent="0.25">
      <c r="A16" s="47" t="s">
        <v>108</v>
      </c>
      <c r="B16" s="96">
        <f>AVERAGE(B4:B15)</f>
        <v>121.47083333333332</v>
      </c>
    </row>
    <row r="17" spans="2:2" x14ac:dyDescent="0.25">
      <c r="B17" s="88">
        <f>B16*B2</f>
        <v>1748366.1454166663</v>
      </c>
    </row>
    <row r="18" spans="2:2" x14ac:dyDescent="0.25">
      <c r="B18" s="88"/>
    </row>
    <row r="19" spans="2:2" x14ac:dyDescent="0.25">
      <c r="B19" s="88"/>
    </row>
    <row r="20" spans="2:2" x14ac:dyDescent="0.25">
      <c r="B20" s="88"/>
    </row>
    <row r="21" spans="2:2" x14ac:dyDescent="0.25">
      <c r="B21" s="88"/>
    </row>
    <row r="22" spans="2:2" x14ac:dyDescent="0.25">
      <c r="B22" s="88"/>
    </row>
    <row r="23" spans="2:2" x14ac:dyDescent="0.25">
      <c r="B23" s="88"/>
    </row>
    <row r="24" spans="2:2" x14ac:dyDescent="0.25">
      <c r="B24" s="88"/>
    </row>
    <row r="25" spans="2:2" x14ac:dyDescent="0.25">
      <c r="B25" s="88"/>
    </row>
    <row r="26" spans="2:2" x14ac:dyDescent="0.25">
      <c r="B26" s="88"/>
    </row>
    <row r="27" spans="2:2" x14ac:dyDescent="0.25">
      <c r="B27" s="88"/>
    </row>
    <row r="28" spans="2:2" x14ac:dyDescent="0.25">
      <c r="B28" s="88"/>
    </row>
    <row r="29" spans="2:2" x14ac:dyDescent="0.25">
      <c r="B29" s="88"/>
    </row>
    <row r="30" spans="2:2" x14ac:dyDescent="0.25">
      <c r="B30" s="88"/>
    </row>
    <row r="31" spans="2:2" x14ac:dyDescent="0.25">
      <c r="B31" s="88"/>
    </row>
    <row r="32" spans="2:2" x14ac:dyDescent="0.25">
      <c r="B32" s="8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2"/>
  <sheetViews>
    <sheetView topLeftCell="K1" zoomScale="70" zoomScaleNormal="70" workbookViewId="0">
      <selection activeCell="T18" sqref="T18"/>
    </sheetView>
  </sheetViews>
  <sheetFormatPr defaultRowHeight="15" x14ac:dyDescent="0.25"/>
  <cols>
    <col min="1" max="1" width="55.85546875" customWidth="1"/>
    <col min="2" max="2" width="38.7109375" customWidth="1"/>
    <col min="3" max="3" width="13.42578125" customWidth="1"/>
    <col min="4" max="4" width="23.7109375" customWidth="1"/>
    <col min="5" max="5" width="25.42578125" customWidth="1"/>
    <col min="6" max="6" width="27.140625" customWidth="1"/>
    <col min="7" max="7" width="28.28515625" customWidth="1"/>
    <col min="8" max="8" width="26" customWidth="1"/>
    <col min="9" max="9" width="25.85546875" customWidth="1"/>
    <col min="10" max="10" width="18.5703125" customWidth="1"/>
    <col min="11" max="11" width="24.140625" customWidth="1"/>
    <col min="12" max="12" width="30.7109375" customWidth="1"/>
    <col min="13" max="13" width="30.42578125" customWidth="1"/>
    <col min="14" max="14" width="21.42578125" customWidth="1"/>
    <col min="15" max="15" width="11.28515625" customWidth="1"/>
    <col min="16" max="16" width="23.5703125" customWidth="1"/>
    <col min="17" max="17" width="23" customWidth="1"/>
    <col min="18" max="18" width="33.28515625" customWidth="1"/>
    <col min="19" max="19" width="27" customWidth="1"/>
    <col min="20" max="20" width="25.7109375" customWidth="1"/>
  </cols>
  <sheetData>
    <row r="2" spans="1:20" x14ac:dyDescent="0.25">
      <c r="B2" s="154" t="s">
        <v>23</v>
      </c>
      <c r="C2" s="154"/>
      <c r="D2" s="154"/>
      <c r="E2" s="154"/>
    </row>
    <row r="3" spans="1:20" x14ac:dyDescent="0.25">
      <c r="A3" s="69" t="s">
        <v>68</v>
      </c>
      <c r="B3" s="69"/>
      <c r="C3" s="70" t="s">
        <v>69</v>
      </c>
      <c r="D3" s="70" t="s">
        <v>85</v>
      </c>
      <c r="E3" s="70" t="s">
        <v>86</v>
      </c>
      <c r="F3" s="70" t="s">
        <v>87</v>
      </c>
      <c r="G3" s="70" t="s">
        <v>88</v>
      </c>
      <c r="H3" s="70" t="s">
        <v>89</v>
      </c>
      <c r="I3" s="70" t="s">
        <v>90</v>
      </c>
    </row>
    <row r="4" spans="1:20" x14ac:dyDescent="0.25">
      <c r="A4" s="71" t="s">
        <v>84</v>
      </c>
      <c r="B4" s="40"/>
      <c r="C4" s="41" t="s">
        <v>70</v>
      </c>
      <c r="D4" s="42"/>
      <c r="E4" s="43">
        <v>1025934</v>
      </c>
      <c r="F4" s="43">
        <v>887651</v>
      </c>
      <c r="G4" s="43">
        <v>849462</v>
      </c>
      <c r="H4" s="43">
        <v>484891</v>
      </c>
      <c r="I4" s="43">
        <v>674913</v>
      </c>
    </row>
    <row r="5" spans="1:20" x14ac:dyDescent="0.25">
      <c r="A5" s="72" t="s">
        <v>130</v>
      </c>
      <c r="B5" s="44"/>
      <c r="C5" s="41" t="s">
        <v>131</v>
      </c>
      <c r="D5" s="42"/>
      <c r="E5" s="43">
        <v>30000</v>
      </c>
      <c r="F5" s="43">
        <v>30000</v>
      </c>
      <c r="G5" s="43">
        <v>30000</v>
      </c>
      <c r="H5" s="43">
        <v>30000</v>
      </c>
      <c r="I5" s="43">
        <v>30000</v>
      </c>
    </row>
    <row r="6" spans="1:20" x14ac:dyDescent="0.25">
      <c r="A6" s="72" t="s">
        <v>83</v>
      </c>
      <c r="B6" s="44"/>
      <c r="C6" s="21" t="s">
        <v>1</v>
      </c>
      <c r="D6" s="109">
        <v>7400000000</v>
      </c>
      <c r="E6" s="45"/>
      <c r="F6" s="45"/>
      <c r="G6" s="45"/>
      <c r="H6" s="45"/>
      <c r="I6" s="45"/>
    </row>
    <row r="7" spans="1:20" x14ac:dyDescent="0.25">
      <c r="A7" s="72" t="s">
        <v>133</v>
      </c>
      <c r="B7" s="44"/>
      <c r="C7" s="21" t="s">
        <v>1</v>
      </c>
      <c r="D7" s="109">
        <v>25604000000</v>
      </c>
      <c r="E7" s="45"/>
      <c r="F7" s="45"/>
      <c r="G7" s="45"/>
      <c r="H7" s="45"/>
      <c r="I7" s="45"/>
    </row>
    <row r="8" spans="1:20" x14ac:dyDescent="0.25">
      <c r="A8" s="72" t="s">
        <v>132</v>
      </c>
      <c r="B8" s="44"/>
      <c r="C8" s="21" t="s">
        <v>1</v>
      </c>
      <c r="D8" s="74"/>
      <c r="E8" s="43">
        <v>10468391279.199999</v>
      </c>
      <c r="F8" s="43">
        <v>10468391279.199999</v>
      </c>
      <c r="G8" s="43">
        <v>10468391279.199999</v>
      </c>
      <c r="H8" s="43">
        <v>10468391279.199999</v>
      </c>
      <c r="I8" s="43">
        <v>10468391279.199999</v>
      </c>
    </row>
    <row r="9" spans="1:20" x14ac:dyDescent="0.25">
      <c r="A9" s="72" t="s">
        <v>92</v>
      </c>
      <c r="B9" s="44"/>
      <c r="C9" s="21" t="s">
        <v>1</v>
      </c>
      <c r="D9" s="74"/>
      <c r="E9" s="127">
        <f>E14*10%</f>
        <v>28213185000</v>
      </c>
      <c r="F9" s="127">
        <f t="shared" ref="F9:I9" si="0">F14*10%</f>
        <v>24410402500</v>
      </c>
      <c r="G9" s="127">
        <f t="shared" si="0"/>
        <v>23360205000</v>
      </c>
      <c r="H9" s="127">
        <f t="shared" si="0"/>
        <v>13334502500</v>
      </c>
      <c r="I9" s="127">
        <f t="shared" si="0"/>
        <v>18560107500</v>
      </c>
    </row>
    <row r="10" spans="1:20" x14ac:dyDescent="0.25">
      <c r="A10" s="46" t="s">
        <v>72</v>
      </c>
      <c r="B10" s="47"/>
      <c r="C10" s="21" t="s">
        <v>1</v>
      </c>
      <c r="D10" s="75"/>
      <c r="E10" s="75">
        <v>1332000000</v>
      </c>
      <c r="F10" s="75">
        <v>1332000000</v>
      </c>
      <c r="G10" s="75">
        <v>1332000000</v>
      </c>
      <c r="H10" s="75">
        <v>1332000000</v>
      </c>
      <c r="I10" s="75">
        <v>1332000000</v>
      </c>
      <c r="Q10" s="154" t="s">
        <v>139</v>
      </c>
      <c r="R10" s="154"/>
    </row>
    <row r="11" spans="1:20" x14ac:dyDescent="0.25">
      <c r="A11" s="46" t="s">
        <v>73</v>
      </c>
      <c r="B11" s="44"/>
      <c r="C11" s="21" t="s">
        <v>1</v>
      </c>
      <c r="D11" s="42"/>
      <c r="E11" s="45"/>
      <c r="F11" s="45"/>
      <c r="G11" s="45"/>
      <c r="H11" s="45"/>
      <c r="I11" s="43">
        <v>92500000</v>
      </c>
      <c r="O11" s="70" t="s">
        <v>135</v>
      </c>
      <c r="P11" s="129" t="s">
        <v>136</v>
      </c>
      <c r="Q11" s="129" t="s">
        <v>137</v>
      </c>
      <c r="R11" s="70" t="s">
        <v>144</v>
      </c>
      <c r="S11" s="70" t="s">
        <v>143</v>
      </c>
      <c r="T11" s="70" t="s">
        <v>78</v>
      </c>
    </row>
    <row r="12" spans="1:20" x14ac:dyDescent="0.25">
      <c r="A12" s="46"/>
      <c r="B12" s="44"/>
      <c r="C12" s="21"/>
      <c r="D12" s="42"/>
      <c r="E12" s="45"/>
      <c r="F12" s="42"/>
      <c r="G12" s="42"/>
      <c r="H12" s="42"/>
      <c r="I12" s="42"/>
      <c r="O12" s="11">
        <v>0</v>
      </c>
      <c r="P12" s="11">
        <v>0</v>
      </c>
      <c r="Q12" s="131">
        <v>-33004000000</v>
      </c>
      <c r="R12" s="133">
        <f>P12-(-Q12)</f>
        <v>-33004000000</v>
      </c>
      <c r="S12" s="134">
        <v>0</v>
      </c>
      <c r="T12" s="133">
        <f>R12-(-S12)</f>
        <v>-33004000000</v>
      </c>
    </row>
    <row r="13" spans="1:20" x14ac:dyDescent="0.25">
      <c r="A13" s="53" t="s">
        <v>74</v>
      </c>
      <c r="B13" s="40"/>
      <c r="C13" s="21" t="s">
        <v>71</v>
      </c>
      <c r="D13" s="44"/>
      <c r="E13" s="43">
        <v>275000</v>
      </c>
      <c r="F13" s="43">
        <v>275000</v>
      </c>
      <c r="G13" s="43">
        <v>275000</v>
      </c>
      <c r="H13" s="43">
        <v>275000</v>
      </c>
      <c r="I13" s="43">
        <v>275000</v>
      </c>
      <c r="J13" s="77"/>
      <c r="O13" s="11">
        <v>1</v>
      </c>
      <c r="P13" s="130">
        <v>282131850000</v>
      </c>
      <c r="Q13" s="131">
        <v>70791596279.199997</v>
      </c>
      <c r="R13" s="133">
        <f>(P13-Q13)</f>
        <v>211340253720.79999</v>
      </c>
      <c r="S13" s="135">
        <f>R13*25%</f>
        <v>52835063430.199997</v>
      </c>
      <c r="T13" s="133">
        <f>(R13-S13)</f>
        <v>158505190290.59998</v>
      </c>
    </row>
    <row r="14" spans="1:20" x14ac:dyDescent="0.25">
      <c r="A14" s="49" t="s">
        <v>75</v>
      </c>
      <c r="B14" s="47"/>
      <c r="C14" s="21" t="s">
        <v>1</v>
      </c>
      <c r="D14" s="42"/>
      <c r="E14" s="43">
        <f>E4*E13</f>
        <v>282131850000</v>
      </c>
      <c r="F14" s="43">
        <f>F4*F13</f>
        <v>244104025000</v>
      </c>
      <c r="G14" s="43">
        <f>G4*G13</f>
        <v>233602050000</v>
      </c>
      <c r="H14" s="43">
        <f>H4*H13</f>
        <v>133345025000</v>
      </c>
      <c r="I14" s="43">
        <f>I4*I13</f>
        <v>185601075000</v>
      </c>
      <c r="O14" s="11">
        <v>2</v>
      </c>
      <c r="P14" s="130">
        <v>244104025000</v>
      </c>
      <c r="Q14" s="131">
        <v>62840323779.199997</v>
      </c>
      <c r="R14" s="133">
        <f t="shared" ref="R14:T17" si="1">(P14-Q14)</f>
        <v>181263701220.79999</v>
      </c>
      <c r="S14" s="135">
        <f t="shared" ref="S14:S17" si="2">R14*25%</f>
        <v>45315925305.199997</v>
      </c>
      <c r="T14" s="133">
        <f t="shared" si="1"/>
        <v>135947775915.59999</v>
      </c>
    </row>
    <row r="15" spans="1:20" x14ac:dyDescent="0.25">
      <c r="A15" s="46"/>
      <c r="B15" s="47"/>
      <c r="C15" s="41"/>
      <c r="D15" s="42"/>
      <c r="E15" s="45"/>
      <c r="F15" s="42"/>
      <c r="G15" s="42"/>
      <c r="H15" s="42"/>
      <c r="I15" s="42"/>
      <c r="O15" s="11">
        <v>3</v>
      </c>
      <c r="P15" s="130">
        <v>233602050000</v>
      </c>
      <c r="Q15" s="131">
        <v>60644456279.199997</v>
      </c>
      <c r="R15" s="133">
        <f t="shared" si="1"/>
        <v>172957593720.79999</v>
      </c>
      <c r="S15" s="135">
        <f t="shared" si="2"/>
        <v>43239398430.199997</v>
      </c>
      <c r="T15" s="133">
        <f t="shared" si="1"/>
        <v>129718195290.59999</v>
      </c>
    </row>
    <row r="16" spans="1:20" x14ac:dyDescent="0.25">
      <c r="A16" s="49" t="s">
        <v>141</v>
      </c>
      <c r="B16" s="47"/>
      <c r="C16" s="21" t="s">
        <v>1</v>
      </c>
      <c r="D16" s="42">
        <f>-SUM(D6:D7)</f>
        <v>-33004000000</v>
      </c>
      <c r="E16" s="45">
        <f>E14-((E4*E5)+E8+E10+E9)</f>
        <v>211340253720.79999</v>
      </c>
      <c r="F16" s="45">
        <f t="shared" ref="F16:I16" si="3">F14-((F4*F5)+F8+F10+F9)</f>
        <v>181263701220.79999</v>
      </c>
      <c r="G16" s="45">
        <f t="shared" si="3"/>
        <v>172957593720.79999</v>
      </c>
      <c r="H16" s="45">
        <f t="shared" si="3"/>
        <v>93663401220.800003</v>
      </c>
      <c r="I16" s="45">
        <f t="shared" si="3"/>
        <v>134993186220.8</v>
      </c>
      <c r="O16" s="11">
        <v>4</v>
      </c>
      <c r="P16" s="130">
        <v>133345025000</v>
      </c>
      <c r="Q16" s="131">
        <v>39681623779.199997</v>
      </c>
      <c r="R16" s="133">
        <f t="shared" si="1"/>
        <v>93663401220.800003</v>
      </c>
      <c r="S16" s="135">
        <f t="shared" si="2"/>
        <v>23415850305.200001</v>
      </c>
      <c r="T16" s="133">
        <f t="shared" si="1"/>
        <v>70247550915.600006</v>
      </c>
    </row>
    <row r="17" spans="1:20" x14ac:dyDescent="0.25">
      <c r="A17" s="51" t="s">
        <v>142</v>
      </c>
      <c r="B17" s="47"/>
      <c r="C17" s="41"/>
      <c r="D17" s="42"/>
      <c r="E17" s="141">
        <f>E16*25%</f>
        <v>52835063430.199997</v>
      </c>
      <c r="F17" s="141">
        <f t="shared" ref="F17:I17" si="4">F16*25%</f>
        <v>45315925305.199997</v>
      </c>
      <c r="G17" s="141">
        <f t="shared" si="4"/>
        <v>43239398430.199997</v>
      </c>
      <c r="H17" s="141">
        <f t="shared" si="4"/>
        <v>23415850305.200001</v>
      </c>
      <c r="I17" s="141">
        <f t="shared" si="4"/>
        <v>33748296555.200001</v>
      </c>
      <c r="O17" s="11">
        <v>5</v>
      </c>
      <c r="P17" s="130">
        <v>185601075000</v>
      </c>
      <c r="Q17" s="132">
        <v>50607888779.199997</v>
      </c>
      <c r="R17" s="133">
        <f t="shared" si="1"/>
        <v>134993186220.8</v>
      </c>
      <c r="S17" s="135">
        <f t="shared" si="2"/>
        <v>33748296555.200001</v>
      </c>
      <c r="T17" s="133">
        <f t="shared" si="1"/>
        <v>101244889665.60001</v>
      </c>
    </row>
    <row r="18" spans="1:20" x14ac:dyDescent="0.25">
      <c r="A18" s="49" t="s">
        <v>78</v>
      </c>
      <c r="B18" s="47"/>
      <c r="C18" s="41"/>
      <c r="D18" s="42">
        <f>D16</f>
        <v>-33004000000</v>
      </c>
      <c r="E18" s="45">
        <f>E16-E17</f>
        <v>158505190290.59998</v>
      </c>
      <c r="F18" s="45">
        <f>F16-F17</f>
        <v>135947775915.59999</v>
      </c>
      <c r="G18" s="45">
        <f>G16-G17</f>
        <v>129718195290.59999</v>
      </c>
      <c r="H18" s="45">
        <f>H16-H17</f>
        <v>70247550915.600006</v>
      </c>
      <c r="I18" s="45">
        <f>I16-I17</f>
        <v>101244889665.60001</v>
      </c>
      <c r="O18" s="11" t="s">
        <v>138</v>
      </c>
      <c r="P18" s="11"/>
      <c r="Q18" s="11"/>
      <c r="R18" s="11"/>
      <c r="S18" s="11"/>
      <c r="T18" s="133">
        <f>SUM(T12:T17)</f>
        <v>562659602077.99988</v>
      </c>
    </row>
    <row r="19" spans="1:20" x14ac:dyDescent="0.25">
      <c r="A19" s="46"/>
      <c r="B19" s="47"/>
      <c r="C19" s="41"/>
      <c r="D19" s="42"/>
      <c r="E19" s="45"/>
      <c r="F19" s="42"/>
      <c r="G19" s="42"/>
      <c r="H19" s="42"/>
      <c r="I19" s="42"/>
    </row>
    <row r="20" spans="1:20" x14ac:dyDescent="0.25">
      <c r="A20" s="72" t="s">
        <v>91</v>
      </c>
      <c r="B20" s="47"/>
      <c r="C20" s="41"/>
      <c r="D20" s="42">
        <f>D18</f>
        <v>-33004000000</v>
      </c>
      <c r="E20" s="45">
        <f>D20+'CASH FLOW BELI LANGSUNG'!E18</f>
        <v>125501190290.59998</v>
      </c>
      <c r="F20" s="45">
        <f>E20+'CASH FLOW BELI LANGSUNG'!F18</f>
        <v>261448966206.19995</v>
      </c>
      <c r="G20" s="45">
        <f>F20+'CASH FLOW BELI LANGSUNG'!G18</f>
        <v>391167161496.79993</v>
      </c>
      <c r="H20" s="45">
        <f>G20+'CASH FLOW BELI LANGSUNG'!H18</f>
        <v>461414712412.3999</v>
      </c>
      <c r="I20" s="45">
        <f>H20+'CASH FLOW BELI LANGSUNG'!I18</f>
        <v>562659602077.99988</v>
      </c>
    </row>
    <row r="21" spans="1:20" x14ac:dyDescent="0.25">
      <c r="A21" s="48"/>
      <c r="B21" s="49"/>
      <c r="C21" s="50"/>
      <c r="D21" s="51"/>
      <c r="E21" s="52"/>
      <c r="F21" s="51"/>
      <c r="G21" s="51"/>
      <c r="H21" s="51"/>
      <c r="I21" s="51"/>
    </row>
    <row r="22" spans="1:20" x14ac:dyDescent="0.25">
      <c r="A22" s="54"/>
      <c r="B22" s="54"/>
      <c r="C22" s="55"/>
      <c r="D22" s="54"/>
      <c r="E22" s="56"/>
      <c r="F22" s="54"/>
      <c r="G22" s="54"/>
      <c r="H22" s="54"/>
    </row>
    <row r="23" spans="1:20" x14ac:dyDescent="0.25">
      <c r="A23" s="54"/>
      <c r="B23" s="54"/>
      <c r="C23" s="55"/>
      <c r="D23" s="56">
        <f>D20</f>
        <v>-33004000000</v>
      </c>
      <c r="E23" s="56">
        <f>((E4*E5)+E8+E10+E9)</f>
        <v>70791596279.199997</v>
      </c>
      <c r="F23" s="56">
        <f t="shared" ref="F23:I23" si="5">((F4*F5)+F8+F10+F9)</f>
        <v>62840323779.199997</v>
      </c>
      <c r="G23" s="56">
        <f t="shared" si="5"/>
        <v>60644456279.199997</v>
      </c>
      <c r="H23" s="56">
        <f t="shared" si="5"/>
        <v>39681623779.199997</v>
      </c>
      <c r="I23" s="56">
        <f t="shared" si="5"/>
        <v>50607888779.199997</v>
      </c>
      <c r="Q23" s="139" t="s">
        <v>140</v>
      </c>
      <c r="R23" s="139"/>
    </row>
    <row r="24" spans="1:20" x14ac:dyDescent="0.25">
      <c r="A24" s="54"/>
      <c r="B24" s="54"/>
      <c r="C24" s="55"/>
      <c r="D24" s="54">
        <v>-33004000000</v>
      </c>
      <c r="E24" s="56">
        <v>70791596279.199997</v>
      </c>
      <c r="F24" s="54">
        <v>62840323779.199997</v>
      </c>
      <c r="G24" s="54">
        <v>60644456279.199997</v>
      </c>
      <c r="H24" s="54">
        <v>39681623779.199997</v>
      </c>
      <c r="I24">
        <v>50607888779.199997</v>
      </c>
      <c r="O24" s="70" t="s">
        <v>135</v>
      </c>
      <c r="P24" s="129" t="s">
        <v>136</v>
      </c>
      <c r="Q24" s="129" t="s">
        <v>137</v>
      </c>
      <c r="R24" s="70" t="s">
        <v>144</v>
      </c>
      <c r="S24" s="70" t="s">
        <v>143</v>
      </c>
      <c r="T24" s="70" t="s">
        <v>78</v>
      </c>
    </row>
    <row r="25" spans="1:20" x14ac:dyDescent="0.25">
      <c r="A25" s="54"/>
      <c r="B25" s="54"/>
      <c r="C25" s="55"/>
      <c r="D25" s="54"/>
      <c r="E25" s="57"/>
      <c r="F25" s="57"/>
      <c r="G25" s="57"/>
      <c r="H25" s="57"/>
      <c r="J25" s="14">
        <v>1624886.73</v>
      </c>
      <c r="K25" s="77" t="e">
        <f>J25*#REF!</f>
        <v>#REF!</v>
      </c>
      <c r="O25" s="11">
        <v>0</v>
      </c>
      <c r="P25" s="11">
        <v>0</v>
      </c>
      <c r="Q25" s="131">
        <v>-15416368029.6</v>
      </c>
      <c r="R25" s="133">
        <f>P25-(-Q25)</f>
        <v>-15416368029.6</v>
      </c>
      <c r="S25" s="134">
        <v>0</v>
      </c>
      <c r="T25" s="133">
        <f>R25-(-S25)</f>
        <v>-15416368029.6</v>
      </c>
    </row>
    <row r="26" spans="1:20" x14ac:dyDescent="0.25">
      <c r="A26" s="113" t="s">
        <v>79</v>
      </c>
      <c r="B26" s="114">
        <v>0.1</v>
      </c>
      <c r="C26" s="117"/>
      <c r="D26" s="54"/>
      <c r="E26" s="61"/>
      <c r="F26" s="54"/>
      <c r="G26" s="54"/>
      <c r="H26" s="56"/>
      <c r="O26" s="11">
        <v>1</v>
      </c>
      <c r="P26" s="130">
        <v>282131850000</v>
      </c>
      <c r="Q26" s="131">
        <v>62770772606.400002</v>
      </c>
      <c r="R26" s="133">
        <f>(P26-Q26)</f>
        <v>219361077393.60001</v>
      </c>
      <c r="S26" s="135">
        <f>R26*25%</f>
        <v>54840269348.400002</v>
      </c>
      <c r="T26" s="133">
        <f>(R26-S26)</f>
        <v>164520808045.20001</v>
      </c>
    </row>
    <row r="27" spans="1:20" x14ac:dyDescent="0.25">
      <c r="A27" s="113" t="s">
        <v>80</v>
      </c>
      <c r="B27" s="111">
        <f>(('CASH FLOW BELI LANGSUNG'!E18/(1+B26)^1)+('CASH FLOW BELI LANGSUNG'!F18/(1+B26)^2)+('CASH FLOW BELI LANGSUNG'!G18/(1+B26)^3)+('CASH FLOW BELI LANGSUNG'!H18/(1+B26)^4)+('CASH FLOW BELI LANGSUNG'!I18/(1+B26)^5))+'CASH FLOW BELI LANGSUNG'!D18</f>
        <v>431749494745.46375</v>
      </c>
      <c r="C27" s="118"/>
      <c r="D27" s="64"/>
      <c r="E27" s="65"/>
      <c r="F27" s="56"/>
      <c r="G27" s="54"/>
      <c r="H27" s="54"/>
      <c r="O27" s="11">
        <v>2</v>
      </c>
      <c r="P27" s="130">
        <v>244104025000</v>
      </c>
      <c r="Q27" s="131">
        <v>54819500106.399994</v>
      </c>
      <c r="R27" s="133">
        <f t="shared" ref="R27:R30" si="6">(P27-Q27)</f>
        <v>189284524893.60001</v>
      </c>
      <c r="S27" s="135">
        <f t="shared" ref="S27:S30" si="7">R27*25%</f>
        <v>47321131223.400002</v>
      </c>
      <c r="T27" s="133">
        <f t="shared" ref="T27:T30" si="8">(R27-S27)</f>
        <v>141963393670.20001</v>
      </c>
    </row>
    <row r="28" spans="1:20" x14ac:dyDescent="0.25">
      <c r="A28" s="115" t="s">
        <v>81</v>
      </c>
      <c r="B28" s="116">
        <f>IRR(D18:I18,B26)</f>
        <v>4.6665952085017706</v>
      </c>
      <c r="C28" s="120"/>
      <c r="D28" s="66"/>
      <c r="E28" s="67"/>
      <c r="F28" s="57"/>
      <c r="G28" s="57"/>
      <c r="H28" s="57"/>
      <c r="O28" s="11">
        <v>3</v>
      </c>
      <c r="P28" s="130">
        <v>233602050000</v>
      </c>
      <c r="Q28" s="131">
        <v>52623632606.399994</v>
      </c>
      <c r="R28" s="133">
        <f t="shared" si="6"/>
        <v>180978417393.60001</v>
      </c>
      <c r="S28" s="135">
        <f t="shared" si="7"/>
        <v>45244604348.400002</v>
      </c>
      <c r="T28" s="133">
        <f t="shared" si="8"/>
        <v>135733813045.20001</v>
      </c>
    </row>
    <row r="29" spans="1:20" x14ac:dyDescent="0.25">
      <c r="A29" s="84"/>
      <c r="B29" s="85"/>
      <c r="C29" s="86"/>
      <c r="D29" s="68"/>
      <c r="E29" s="54"/>
      <c r="F29" s="54"/>
      <c r="G29" s="54"/>
      <c r="H29" s="54"/>
      <c r="O29" s="11">
        <v>4</v>
      </c>
      <c r="P29" s="130">
        <v>133345025000</v>
      </c>
      <c r="Q29" s="131">
        <v>31660800106.399998</v>
      </c>
      <c r="R29" s="133">
        <f t="shared" si="6"/>
        <v>101684224893.60001</v>
      </c>
      <c r="S29" s="135">
        <f t="shared" si="7"/>
        <v>25421056223.400002</v>
      </c>
      <c r="T29" s="133">
        <f t="shared" si="8"/>
        <v>76263168670.200012</v>
      </c>
    </row>
    <row r="30" spans="1:20" x14ac:dyDescent="0.25">
      <c r="A30" s="81"/>
      <c r="B30" s="82"/>
      <c r="C30" s="83"/>
      <c r="D30" s="54"/>
      <c r="E30" s="54"/>
      <c r="F30" s="54"/>
      <c r="G30" s="54"/>
      <c r="H30" s="54"/>
      <c r="O30" s="11">
        <v>5</v>
      </c>
      <c r="P30" s="130">
        <v>185601075000</v>
      </c>
      <c r="Q30" s="132">
        <v>42587065106.399994</v>
      </c>
      <c r="R30" s="133">
        <f t="shared" si="6"/>
        <v>143014009893.60001</v>
      </c>
      <c r="S30" s="135">
        <f t="shared" si="7"/>
        <v>35753502473.400002</v>
      </c>
      <c r="T30" s="133">
        <f t="shared" si="8"/>
        <v>107260507420.20001</v>
      </c>
    </row>
    <row r="31" spans="1:20" x14ac:dyDescent="0.25">
      <c r="O31" s="11" t="s">
        <v>138</v>
      </c>
      <c r="P31" s="11"/>
      <c r="Q31" s="11"/>
      <c r="R31" s="11"/>
      <c r="S31" s="11"/>
      <c r="T31" s="133">
        <f>SUM(T25:T30)</f>
        <v>610325322821.40015</v>
      </c>
    </row>
    <row r="35" spans="1:13" x14ac:dyDescent="0.25">
      <c r="B35" s="154" t="s">
        <v>67</v>
      </c>
      <c r="C35" s="154"/>
      <c r="D35" s="154"/>
      <c r="E35" s="154"/>
    </row>
    <row r="36" spans="1:13" x14ac:dyDescent="0.25">
      <c r="A36" s="69" t="s">
        <v>68</v>
      </c>
      <c r="B36" s="69"/>
      <c r="C36" s="70" t="s">
        <v>69</v>
      </c>
      <c r="D36" s="70" t="s">
        <v>85</v>
      </c>
      <c r="E36" s="70" t="s">
        <v>86</v>
      </c>
      <c r="F36" s="70" t="s">
        <v>87</v>
      </c>
      <c r="G36" s="70" t="s">
        <v>88</v>
      </c>
      <c r="H36" s="70" t="s">
        <v>89</v>
      </c>
      <c r="I36" s="70" t="s">
        <v>90</v>
      </c>
      <c r="K36" s="41" t="s">
        <v>118</v>
      </c>
      <c r="L36" s="42">
        <v>3588784285077</v>
      </c>
      <c r="M36" s="121">
        <v>3526232832259.0937</v>
      </c>
    </row>
    <row r="37" spans="1:13" x14ac:dyDescent="0.25">
      <c r="A37" s="71" t="s">
        <v>84</v>
      </c>
      <c r="B37" s="40"/>
      <c r="C37" s="41" t="s">
        <v>70</v>
      </c>
      <c r="D37" s="42"/>
      <c r="E37" s="43">
        <v>1025934</v>
      </c>
      <c r="F37" s="43">
        <v>887651</v>
      </c>
      <c r="G37" s="43">
        <v>849462</v>
      </c>
      <c r="H37" s="43">
        <v>484891</v>
      </c>
      <c r="I37" s="43">
        <v>674913</v>
      </c>
      <c r="K37" s="21" t="s">
        <v>119</v>
      </c>
      <c r="L37" s="72">
        <v>3563042578607.4375</v>
      </c>
      <c r="M37" s="121">
        <v>3564250317786.7031</v>
      </c>
    </row>
    <row r="38" spans="1:13" x14ac:dyDescent="0.25">
      <c r="A38" s="72" t="s">
        <v>130</v>
      </c>
      <c r="B38" s="44"/>
      <c r="C38" s="41" t="s">
        <v>131</v>
      </c>
      <c r="D38" s="42"/>
      <c r="E38" s="43">
        <v>30000</v>
      </c>
      <c r="F38" s="43">
        <v>30000</v>
      </c>
      <c r="G38" s="43">
        <v>30000</v>
      </c>
      <c r="H38" s="43">
        <v>30000</v>
      </c>
      <c r="I38" s="43">
        <v>30000</v>
      </c>
    </row>
    <row r="39" spans="1:13" x14ac:dyDescent="0.25">
      <c r="A39" s="72" t="s">
        <v>83</v>
      </c>
      <c r="B39" s="44"/>
      <c r="C39" s="21" t="s">
        <v>1</v>
      </c>
      <c r="D39" s="109">
        <v>3456584760</v>
      </c>
      <c r="E39" s="45"/>
      <c r="F39" s="45"/>
      <c r="G39" s="45"/>
      <c r="H39" s="45"/>
      <c r="I39" s="45"/>
    </row>
    <row r="40" spans="1:13" x14ac:dyDescent="0.25">
      <c r="A40" s="72" t="s">
        <v>133</v>
      </c>
      <c r="B40" s="44"/>
      <c r="C40" s="21" t="s">
        <v>1</v>
      </c>
      <c r="D40" s="109">
        <v>11959783269.6</v>
      </c>
      <c r="E40" s="45"/>
      <c r="F40" s="45"/>
      <c r="G40" s="45"/>
      <c r="H40" s="45"/>
      <c r="I40" s="45"/>
    </row>
    <row r="41" spans="1:13" x14ac:dyDescent="0.25">
      <c r="A41" s="72" t="s">
        <v>134</v>
      </c>
      <c r="B41" s="44"/>
      <c r="C41" s="21" t="s">
        <v>1</v>
      </c>
      <c r="D41" s="74"/>
      <c r="E41" s="43">
        <v>3157382349.5999999</v>
      </c>
      <c r="F41" s="43">
        <v>3157382349.5999999</v>
      </c>
      <c r="G41" s="43">
        <v>3157382349.5999999</v>
      </c>
      <c r="H41" s="43">
        <v>3157382349.5999999</v>
      </c>
      <c r="I41" s="43">
        <v>3157382349.5999999</v>
      </c>
    </row>
    <row r="42" spans="1:13" x14ac:dyDescent="0.25">
      <c r="A42" s="72" t="s">
        <v>92</v>
      </c>
      <c r="B42" s="44"/>
      <c r="C42" s="21" t="s">
        <v>1</v>
      </c>
      <c r="D42" s="74"/>
      <c r="E42" s="127">
        <f>E47*10%</f>
        <v>28213185000</v>
      </c>
      <c r="F42" s="127">
        <f t="shared" ref="F42:I42" si="9">F47*10%</f>
        <v>24410402500</v>
      </c>
      <c r="G42" s="127">
        <f t="shared" si="9"/>
        <v>23360205000</v>
      </c>
      <c r="H42" s="127">
        <f t="shared" si="9"/>
        <v>13334502500</v>
      </c>
      <c r="I42" s="127">
        <f t="shared" si="9"/>
        <v>18560107500</v>
      </c>
    </row>
    <row r="43" spans="1:13" x14ac:dyDescent="0.25">
      <c r="A43" s="46" t="s">
        <v>72</v>
      </c>
      <c r="B43" s="47"/>
      <c r="C43" s="21" t="s">
        <v>1</v>
      </c>
      <c r="D43" s="75"/>
      <c r="E43" s="75">
        <v>622185256.79999995</v>
      </c>
      <c r="F43" s="75">
        <v>622185256.79999995</v>
      </c>
      <c r="G43" s="75">
        <v>622185256.79999995</v>
      </c>
      <c r="H43" s="75">
        <v>622185256.79999995</v>
      </c>
      <c r="I43" s="75">
        <v>622185256.79999995</v>
      </c>
    </row>
    <row r="44" spans="1:13" x14ac:dyDescent="0.25">
      <c r="A44" s="46" t="s">
        <v>73</v>
      </c>
      <c r="B44" s="44"/>
      <c r="C44" s="21" t="s">
        <v>1</v>
      </c>
      <c r="D44" s="42"/>
      <c r="E44" s="45"/>
      <c r="F44" s="45"/>
      <c r="G44" s="45"/>
      <c r="H44" s="45"/>
      <c r="I44" s="43">
        <v>92500000</v>
      </c>
    </row>
    <row r="45" spans="1:13" x14ac:dyDescent="0.25">
      <c r="A45" s="46"/>
      <c r="B45" s="44"/>
      <c r="C45" s="21"/>
      <c r="D45" s="42"/>
      <c r="E45" s="45"/>
      <c r="F45" s="42"/>
      <c r="G45" s="42"/>
      <c r="H45" s="42"/>
      <c r="I45" s="42"/>
    </row>
    <row r="46" spans="1:13" x14ac:dyDescent="0.25">
      <c r="A46" s="53" t="s">
        <v>74</v>
      </c>
      <c r="B46" s="40"/>
      <c r="C46" s="21" t="s">
        <v>71</v>
      </c>
      <c r="D46" s="44"/>
      <c r="E46" s="43">
        <v>275000</v>
      </c>
      <c r="F46" s="43">
        <v>275000</v>
      </c>
      <c r="G46" s="43">
        <v>275000</v>
      </c>
      <c r="H46" s="43">
        <v>275000</v>
      </c>
      <c r="I46" s="43">
        <v>275000</v>
      </c>
    </row>
    <row r="47" spans="1:13" x14ac:dyDescent="0.25">
      <c r="A47" s="49" t="s">
        <v>75</v>
      </c>
      <c r="B47" s="47"/>
      <c r="C47" s="21" t="s">
        <v>1</v>
      </c>
      <c r="D47" s="42"/>
      <c r="E47" s="43">
        <f>E37*E46</f>
        <v>282131850000</v>
      </c>
      <c r="F47" s="43">
        <f>F37*F46</f>
        <v>244104025000</v>
      </c>
      <c r="G47" s="43">
        <f>G37*G46</f>
        <v>233602050000</v>
      </c>
      <c r="H47" s="43">
        <f>H37*H46</f>
        <v>133345025000</v>
      </c>
      <c r="I47" s="43">
        <f>I37*I46</f>
        <v>185601075000</v>
      </c>
    </row>
    <row r="48" spans="1:13" x14ac:dyDescent="0.25">
      <c r="A48" s="46"/>
      <c r="B48" s="47"/>
      <c r="C48" s="41"/>
      <c r="D48" s="42"/>
      <c r="E48" s="45"/>
      <c r="F48" s="42"/>
      <c r="G48" s="42"/>
      <c r="H48" s="42"/>
      <c r="I48" s="42"/>
    </row>
    <row r="49" spans="1:9" x14ac:dyDescent="0.25">
      <c r="A49" s="49" t="s">
        <v>141</v>
      </c>
      <c r="B49" s="47"/>
      <c r="C49" s="21" t="s">
        <v>1</v>
      </c>
      <c r="D49" s="42">
        <f>-SUM(D39:D40)</f>
        <v>-15416368029.6</v>
      </c>
      <c r="E49" s="45">
        <f>E47-((E37*E38)+E41+E43+E42)</f>
        <v>219361077393.60001</v>
      </c>
      <c r="F49" s="45">
        <f t="shared" ref="F49:I49" si="10">F47-((F37*F38)+F41+F43+F42)</f>
        <v>189284524893.60001</v>
      </c>
      <c r="G49" s="45">
        <f t="shared" si="10"/>
        <v>180978417393.60001</v>
      </c>
      <c r="H49" s="45">
        <f t="shared" si="10"/>
        <v>101684224893.60001</v>
      </c>
      <c r="I49" s="45">
        <f t="shared" si="10"/>
        <v>143014009893.60001</v>
      </c>
    </row>
    <row r="50" spans="1:9" x14ac:dyDescent="0.25">
      <c r="A50" s="51" t="s">
        <v>142</v>
      </c>
      <c r="B50" s="47"/>
      <c r="C50" s="41"/>
      <c r="D50" s="42"/>
      <c r="E50" s="141">
        <f>E49*25%</f>
        <v>54840269348.400002</v>
      </c>
      <c r="F50" s="141">
        <f t="shared" ref="F50:I50" si="11">F49*25%</f>
        <v>47321131223.400002</v>
      </c>
      <c r="G50" s="141">
        <f t="shared" si="11"/>
        <v>45244604348.400002</v>
      </c>
      <c r="H50" s="141">
        <f t="shared" si="11"/>
        <v>25421056223.400002</v>
      </c>
      <c r="I50" s="141">
        <f t="shared" si="11"/>
        <v>35753502473.400002</v>
      </c>
    </row>
    <row r="51" spans="1:9" x14ac:dyDescent="0.25">
      <c r="A51" s="49" t="s">
        <v>78</v>
      </c>
      <c r="B51" s="47"/>
      <c r="C51" s="41"/>
      <c r="D51" s="42">
        <f>D49</f>
        <v>-15416368029.6</v>
      </c>
      <c r="E51" s="45">
        <f>E49-E50</f>
        <v>164520808045.20001</v>
      </c>
      <c r="F51" s="45">
        <f>F49-F50</f>
        <v>141963393670.20001</v>
      </c>
      <c r="G51" s="45">
        <f>G49-G50</f>
        <v>135733813045.20001</v>
      </c>
      <c r="H51" s="45">
        <f>H49-H50</f>
        <v>76263168670.200012</v>
      </c>
      <c r="I51" s="45">
        <f>I49-I50</f>
        <v>107260507420.20001</v>
      </c>
    </row>
    <row r="52" spans="1:9" x14ac:dyDescent="0.25">
      <c r="A52" s="46"/>
      <c r="B52" s="47"/>
      <c r="C52" s="41"/>
      <c r="D52" s="42"/>
      <c r="E52" s="45"/>
      <c r="F52" s="42"/>
      <c r="G52" s="42"/>
      <c r="H52" s="42"/>
      <c r="I52" s="42"/>
    </row>
    <row r="53" spans="1:9" x14ac:dyDescent="0.25">
      <c r="A53" s="72" t="s">
        <v>91</v>
      </c>
      <c r="B53" s="47"/>
      <c r="C53" s="41"/>
      <c r="D53" s="42">
        <f>D51</f>
        <v>-15416368029.6</v>
      </c>
      <c r="E53" s="45">
        <f>D53+E51</f>
        <v>149104440015.60001</v>
      </c>
      <c r="F53" s="45">
        <f>E53+F51</f>
        <v>291067833685.80005</v>
      </c>
      <c r="G53" s="45">
        <f>F53+G51</f>
        <v>426801646731.00006</v>
      </c>
      <c r="H53" s="45">
        <f>G53+H51</f>
        <v>503064815401.20007</v>
      </c>
      <c r="I53" s="45">
        <f>H53+I51</f>
        <v>610325322821.40015</v>
      </c>
    </row>
    <row r="54" spans="1:9" x14ac:dyDescent="0.25">
      <c r="A54" s="48"/>
      <c r="B54" s="49"/>
      <c r="C54" s="50"/>
      <c r="D54" s="51"/>
      <c r="E54" s="52"/>
      <c r="F54" s="51"/>
      <c r="G54" s="51"/>
      <c r="H54" s="51"/>
      <c r="I54" s="51"/>
    </row>
    <row r="56" spans="1:9" x14ac:dyDescent="0.25">
      <c r="D56" s="38">
        <f>D53</f>
        <v>-15416368029.6</v>
      </c>
      <c r="E56" s="38">
        <f>((E37*E38)+E41+E43+E42)</f>
        <v>62770772606.400002</v>
      </c>
      <c r="F56" s="38">
        <f t="shared" ref="F56:I56" si="12">((F37*F38)+F41+F43+F42)</f>
        <v>54819500106.399994</v>
      </c>
      <c r="G56" s="38">
        <f t="shared" si="12"/>
        <v>52623632606.399994</v>
      </c>
      <c r="H56" s="38">
        <f t="shared" si="12"/>
        <v>31660800106.399998</v>
      </c>
      <c r="I56" s="38">
        <f t="shared" si="12"/>
        <v>42587065106.399994</v>
      </c>
    </row>
    <row r="57" spans="1:9" x14ac:dyDescent="0.25">
      <c r="A57" s="54"/>
      <c r="B57" s="54"/>
      <c r="C57" s="55"/>
      <c r="D57" s="54">
        <v>-15416368029.6</v>
      </c>
      <c r="E57" s="56">
        <v>62770772606.400002</v>
      </c>
      <c r="F57" s="54">
        <v>54819500106.399994</v>
      </c>
      <c r="G57" s="54">
        <v>52623632606.399994</v>
      </c>
      <c r="H57" s="54">
        <v>31660800106.399998</v>
      </c>
      <c r="I57">
        <v>42587065106.399994</v>
      </c>
    </row>
    <row r="58" spans="1:9" x14ac:dyDescent="0.25">
      <c r="A58" s="54"/>
      <c r="B58" s="54"/>
      <c r="C58" s="55"/>
      <c r="D58" s="54"/>
      <c r="E58" s="57"/>
      <c r="F58" s="57"/>
      <c r="G58" s="57"/>
      <c r="H58" s="57"/>
    </row>
    <row r="59" spans="1:9" x14ac:dyDescent="0.25">
      <c r="A59" s="113" t="s">
        <v>79</v>
      </c>
      <c r="B59" s="114">
        <v>0.1</v>
      </c>
      <c r="C59" s="117"/>
      <c r="D59" s="54"/>
      <c r="E59" s="61"/>
      <c r="F59" s="54"/>
      <c r="G59" s="54"/>
      <c r="H59" s="56"/>
    </row>
    <row r="60" spans="1:9" x14ac:dyDescent="0.25">
      <c r="A60" s="113" t="s">
        <v>80</v>
      </c>
      <c r="B60" s="111">
        <f>((E51/(1+B59)^1)+(F51/(1+B59)^2)+(G51/(1+B59)^3)+(H51/(1+B59)^4)+(I51/(1+B59)^5))+D51</f>
        <v>472141050909.82013</v>
      </c>
      <c r="C60" s="118"/>
      <c r="D60" s="64"/>
      <c r="E60" s="65"/>
      <c r="F60" s="56"/>
      <c r="G60" s="54"/>
      <c r="H60" s="54"/>
    </row>
    <row r="61" spans="1:9" x14ac:dyDescent="0.25">
      <c r="A61" s="115" t="s">
        <v>81</v>
      </c>
      <c r="B61" s="116">
        <f>IRR(D51:I51,B59)</f>
        <v>10.539561445275217</v>
      </c>
      <c r="C61" s="120"/>
      <c r="D61" s="66"/>
      <c r="E61" s="67"/>
      <c r="F61" s="57"/>
      <c r="G61" s="57"/>
      <c r="H61" s="57"/>
    </row>
    <row r="62" spans="1:9" x14ac:dyDescent="0.25">
      <c r="A62" s="81"/>
      <c r="B62" s="82"/>
      <c r="C62" s="83"/>
      <c r="D62" s="54"/>
      <c r="E62" s="54"/>
      <c r="F62" s="54"/>
      <c r="G62" s="54"/>
      <c r="H62" s="54"/>
    </row>
  </sheetData>
  <mergeCells count="3">
    <mergeCell ref="B2:E2"/>
    <mergeCell ref="B35:E35"/>
    <mergeCell ref="Q10:R10"/>
  </mergeCells>
  <pageMargins left="0.7" right="0.7" top="0.75" bottom="0.75" header="0.3" footer="0.3"/>
  <pageSetup paperSize="9" orientation="portrait" r:id="rId1"/>
  <ignoredErrors>
    <ignoredError sqref="S13:S17 S26:S3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60"/>
  <sheetViews>
    <sheetView topLeftCell="G1" zoomScale="70" zoomScaleNormal="70" workbookViewId="0">
      <selection activeCell="R14" sqref="R14"/>
    </sheetView>
  </sheetViews>
  <sheetFormatPr defaultRowHeight="15" x14ac:dyDescent="0.25"/>
  <cols>
    <col min="1" max="1" width="58.28515625" customWidth="1"/>
    <col min="2" max="2" width="33.85546875" customWidth="1"/>
    <col min="3" max="3" width="10.7109375" customWidth="1"/>
    <col min="4" max="4" width="22.85546875" customWidth="1"/>
    <col min="5" max="5" width="24.140625" customWidth="1"/>
    <col min="6" max="6" width="25.5703125" customWidth="1"/>
    <col min="7" max="7" width="25" customWidth="1"/>
    <col min="8" max="8" width="23.85546875" customWidth="1"/>
    <col min="9" max="9" width="28" customWidth="1"/>
    <col min="13" max="13" width="10.42578125" customWidth="1"/>
    <col min="14" max="14" width="24.42578125" customWidth="1"/>
    <col min="15" max="15" width="22.28515625" customWidth="1"/>
    <col min="16" max="16" width="32.85546875" customWidth="1"/>
    <col min="17" max="17" width="27" customWidth="1"/>
    <col min="18" max="18" width="24.28515625" customWidth="1"/>
  </cols>
  <sheetData>
    <row r="3" spans="1:18" x14ac:dyDescent="0.25">
      <c r="A3" s="69" t="s">
        <v>68</v>
      </c>
      <c r="B3" s="69"/>
      <c r="C3" s="70" t="s">
        <v>69</v>
      </c>
      <c r="D3" s="70" t="s">
        <v>85</v>
      </c>
      <c r="E3" s="70" t="s">
        <v>86</v>
      </c>
      <c r="F3" s="70" t="s">
        <v>87</v>
      </c>
      <c r="G3" s="70" t="s">
        <v>88</v>
      </c>
      <c r="H3" s="70" t="s">
        <v>89</v>
      </c>
      <c r="I3" s="70" t="s">
        <v>90</v>
      </c>
    </row>
    <row r="4" spans="1:18" x14ac:dyDescent="0.25">
      <c r="A4" s="71" t="s">
        <v>84</v>
      </c>
      <c r="B4" s="40"/>
      <c r="C4" s="41" t="s">
        <v>70</v>
      </c>
      <c r="D4" s="42"/>
      <c r="E4" s="43">
        <v>1025934</v>
      </c>
      <c r="F4" s="43">
        <v>887651</v>
      </c>
      <c r="G4" s="43">
        <v>849462</v>
      </c>
      <c r="H4" s="43">
        <v>484891</v>
      </c>
      <c r="I4" s="43">
        <v>674913</v>
      </c>
    </row>
    <row r="5" spans="1:18" x14ac:dyDescent="0.25">
      <c r="A5" s="72" t="s">
        <v>130</v>
      </c>
      <c r="B5" s="44"/>
      <c r="C5" s="41" t="s">
        <v>131</v>
      </c>
      <c r="D5" s="42"/>
      <c r="E5" s="43">
        <v>30000</v>
      </c>
      <c r="F5" s="43">
        <v>30000</v>
      </c>
      <c r="G5" s="43">
        <v>30000</v>
      </c>
      <c r="H5" s="43">
        <v>30000</v>
      </c>
      <c r="I5" s="43">
        <v>30000</v>
      </c>
    </row>
    <row r="6" spans="1:18" x14ac:dyDescent="0.25">
      <c r="A6" s="72" t="s">
        <v>111</v>
      </c>
      <c r="B6" s="44"/>
      <c r="C6" s="21" t="s">
        <v>1</v>
      </c>
      <c r="D6" s="107">
        <v>34132176000</v>
      </c>
      <c r="E6" s="43"/>
      <c r="F6" s="43"/>
      <c r="G6" s="43"/>
      <c r="H6" s="43"/>
      <c r="I6" s="43"/>
      <c r="O6" s="154" t="s">
        <v>139</v>
      </c>
      <c r="P6" s="154"/>
    </row>
    <row r="7" spans="1:18" x14ac:dyDescent="0.25">
      <c r="A7" s="72" t="s">
        <v>92</v>
      </c>
      <c r="B7" s="44"/>
      <c r="C7" s="21" t="s">
        <v>1</v>
      </c>
      <c r="D7" s="74"/>
      <c r="E7" s="127">
        <f>E12*10%</f>
        <v>28213185000</v>
      </c>
      <c r="F7" s="127">
        <f t="shared" ref="F7:I7" si="0">F12*10%</f>
        <v>24410402500</v>
      </c>
      <c r="G7" s="127">
        <f t="shared" si="0"/>
        <v>23360205000</v>
      </c>
      <c r="H7" s="127">
        <f t="shared" si="0"/>
        <v>13334502500</v>
      </c>
      <c r="I7" s="127">
        <f t="shared" si="0"/>
        <v>18560107500</v>
      </c>
      <c r="M7" s="70" t="s">
        <v>135</v>
      </c>
      <c r="N7" s="129" t="s">
        <v>136</v>
      </c>
      <c r="O7" s="129" t="s">
        <v>137</v>
      </c>
      <c r="P7" s="70" t="s">
        <v>144</v>
      </c>
      <c r="Q7" s="70" t="s">
        <v>143</v>
      </c>
      <c r="R7" s="70" t="s">
        <v>78</v>
      </c>
    </row>
    <row r="8" spans="1:18" x14ac:dyDescent="0.25">
      <c r="A8" s="72" t="s">
        <v>112</v>
      </c>
      <c r="B8" s="47"/>
      <c r="C8" s="21"/>
      <c r="D8" s="75"/>
      <c r="E8" s="75">
        <v>8445525600</v>
      </c>
      <c r="F8" s="75">
        <v>8445525599.999999</v>
      </c>
      <c r="G8" s="75">
        <v>8445525599.999999</v>
      </c>
      <c r="H8" s="75">
        <v>8445525599.999999</v>
      </c>
      <c r="I8" s="75">
        <v>8445525599.999999</v>
      </c>
      <c r="M8" s="11">
        <v>0</v>
      </c>
      <c r="N8" s="11">
        <v>0</v>
      </c>
      <c r="O8" s="51">
        <v>-34132176000</v>
      </c>
      <c r="P8" s="133">
        <f>N8-(-O8)</f>
        <v>-34132176000</v>
      </c>
      <c r="Q8" s="134">
        <v>0</v>
      </c>
      <c r="R8" s="133">
        <f>P8-(-Q8)</f>
        <v>-34132176000</v>
      </c>
    </row>
    <row r="9" spans="1:18" x14ac:dyDescent="0.25">
      <c r="A9" s="46"/>
      <c r="B9" s="44"/>
      <c r="C9" s="21"/>
      <c r="D9" s="42"/>
      <c r="E9" s="45"/>
      <c r="F9" s="45"/>
      <c r="G9" s="45"/>
      <c r="H9" s="45"/>
      <c r="I9" s="43"/>
      <c r="M9" s="11">
        <v>1</v>
      </c>
      <c r="N9" s="138">
        <v>282131850000</v>
      </c>
      <c r="O9" s="51">
        <v>67436730600</v>
      </c>
      <c r="P9" s="133">
        <f>(N9-O9)</f>
        <v>214695119400</v>
      </c>
      <c r="Q9" s="135">
        <f>P9*25%</f>
        <v>53673779850</v>
      </c>
      <c r="R9" s="133">
        <f>(P9-Q9)</f>
        <v>161021339550</v>
      </c>
    </row>
    <row r="10" spans="1:18" x14ac:dyDescent="0.25">
      <c r="A10" s="46"/>
      <c r="B10" s="44"/>
      <c r="C10" s="21"/>
      <c r="D10" s="42"/>
      <c r="E10" s="45"/>
      <c r="F10" s="42"/>
      <c r="G10" s="42"/>
      <c r="H10" s="42"/>
      <c r="I10" s="42"/>
      <c r="M10" s="11">
        <v>2</v>
      </c>
      <c r="N10" s="138">
        <v>244104025000</v>
      </c>
      <c r="O10" s="51">
        <v>59485458100</v>
      </c>
      <c r="P10" s="133">
        <f t="shared" ref="P10:R13" si="1">(N10-O10)</f>
        <v>184618566900</v>
      </c>
      <c r="Q10" s="135">
        <f t="shared" ref="Q10:Q13" si="2">P10*25%</f>
        <v>46154641725</v>
      </c>
      <c r="R10" s="133">
        <f t="shared" si="1"/>
        <v>138463925175</v>
      </c>
    </row>
    <row r="11" spans="1:18" x14ac:dyDescent="0.25">
      <c r="A11" s="53" t="s">
        <v>74</v>
      </c>
      <c r="B11" s="40"/>
      <c r="C11" s="21" t="s">
        <v>71</v>
      </c>
      <c r="D11" s="44"/>
      <c r="E11" s="43">
        <v>275000</v>
      </c>
      <c r="F11" s="43">
        <v>275000</v>
      </c>
      <c r="G11" s="43">
        <v>275000</v>
      </c>
      <c r="H11" s="43">
        <v>275000</v>
      </c>
      <c r="I11" s="43">
        <v>275000</v>
      </c>
      <c r="M11" s="11">
        <v>3</v>
      </c>
      <c r="N11" s="138">
        <v>233602050000</v>
      </c>
      <c r="O11" s="51">
        <v>57289590600</v>
      </c>
      <c r="P11" s="133">
        <f t="shared" si="1"/>
        <v>176312459400</v>
      </c>
      <c r="Q11" s="135">
        <f t="shared" si="2"/>
        <v>44078114850</v>
      </c>
      <c r="R11" s="133">
        <f t="shared" si="1"/>
        <v>132234344550</v>
      </c>
    </row>
    <row r="12" spans="1:18" x14ac:dyDescent="0.25">
      <c r="A12" s="49" t="s">
        <v>75</v>
      </c>
      <c r="B12" s="47"/>
      <c r="C12" s="21" t="s">
        <v>1</v>
      </c>
      <c r="D12" s="42"/>
      <c r="E12" s="43">
        <f>E4*E11</f>
        <v>282131850000</v>
      </c>
      <c r="F12" s="43">
        <f>F4*F11</f>
        <v>244104025000</v>
      </c>
      <c r="G12" s="43">
        <f>G4*G11</f>
        <v>233602050000</v>
      </c>
      <c r="H12" s="43">
        <f>H4*H11</f>
        <v>133345025000</v>
      </c>
      <c r="I12" s="43">
        <f>I4*I11</f>
        <v>185601075000</v>
      </c>
      <c r="M12" s="11">
        <v>4</v>
      </c>
      <c r="N12" s="138">
        <v>133345025000</v>
      </c>
      <c r="O12" s="51">
        <v>36326758100</v>
      </c>
      <c r="P12" s="133">
        <f t="shared" si="1"/>
        <v>97018266900</v>
      </c>
      <c r="Q12" s="135">
        <f t="shared" si="2"/>
        <v>24254566725</v>
      </c>
      <c r="R12" s="133">
        <f t="shared" si="1"/>
        <v>72763700175</v>
      </c>
    </row>
    <row r="13" spans="1:18" x14ac:dyDescent="0.25">
      <c r="A13" s="46"/>
      <c r="B13" s="47"/>
      <c r="C13" s="41"/>
      <c r="D13" s="42"/>
      <c r="E13" s="45"/>
      <c r="F13" s="42"/>
      <c r="G13" s="42"/>
      <c r="H13" s="42"/>
      <c r="I13" s="42"/>
      <c r="M13" s="11">
        <v>5</v>
      </c>
      <c r="N13" s="138">
        <v>185601075000</v>
      </c>
      <c r="O13" s="51">
        <v>47253023100</v>
      </c>
      <c r="P13" s="133">
        <f t="shared" si="1"/>
        <v>138348051900</v>
      </c>
      <c r="Q13" s="135">
        <f t="shared" si="2"/>
        <v>34587012975</v>
      </c>
      <c r="R13" s="133">
        <f t="shared" si="1"/>
        <v>103761038925</v>
      </c>
    </row>
    <row r="14" spans="1:18" x14ac:dyDescent="0.25">
      <c r="A14" s="49" t="s">
        <v>141</v>
      </c>
      <c r="B14" s="47"/>
      <c r="C14" s="21" t="s">
        <v>1</v>
      </c>
      <c r="D14" s="42">
        <f>-D6</f>
        <v>-34132176000</v>
      </c>
      <c r="E14" s="45">
        <f>E12-((E4*E5)+E8+E7)</f>
        <v>214695119400</v>
      </c>
      <c r="F14" s="45">
        <f t="shared" ref="F14:I14" si="3">F12-((F4*F5)+F8+F7)</f>
        <v>184618566900</v>
      </c>
      <c r="G14" s="45">
        <f t="shared" si="3"/>
        <v>176312459400</v>
      </c>
      <c r="H14" s="45">
        <f t="shared" si="3"/>
        <v>97018266900</v>
      </c>
      <c r="I14" s="45">
        <f t="shared" si="3"/>
        <v>138348051900</v>
      </c>
      <c r="M14" s="11" t="s">
        <v>138</v>
      </c>
      <c r="N14" s="11"/>
      <c r="O14" s="11"/>
      <c r="P14" s="11"/>
      <c r="Q14" s="11"/>
      <c r="R14" s="133">
        <f>SUM(R8:R13)</f>
        <v>574112172375</v>
      </c>
    </row>
    <row r="15" spans="1:18" x14ac:dyDescent="0.25">
      <c r="A15" s="51" t="s">
        <v>142</v>
      </c>
      <c r="B15" s="47"/>
      <c r="C15" s="41"/>
      <c r="D15" s="42"/>
      <c r="E15" s="45">
        <f>E14*25%</f>
        <v>53673779850</v>
      </c>
      <c r="F15" s="45">
        <f t="shared" ref="F15:I15" si="4">F14*25%</f>
        <v>46154641725</v>
      </c>
      <c r="G15" s="45">
        <f t="shared" si="4"/>
        <v>44078114850</v>
      </c>
      <c r="H15" s="45">
        <f t="shared" si="4"/>
        <v>24254566725</v>
      </c>
      <c r="I15" s="45">
        <f t="shared" si="4"/>
        <v>34587012975</v>
      </c>
    </row>
    <row r="16" spans="1:18" x14ac:dyDescent="0.25">
      <c r="A16" s="49" t="s">
        <v>78</v>
      </c>
      <c r="B16" s="47"/>
      <c r="C16" s="41"/>
      <c r="D16" s="42">
        <f>D14</f>
        <v>-34132176000</v>
      </c>
      <c r="E16" s="45">
        <f>E14-E15</f>
        <v>161021339550</v>
      </c>
      <c r="F16" s="45">
        <f>F14-F15</f>
        <v>138463925175</v>
      </c>
      <c r="G16" s="45">
        <f>G14-G15</f>
        <v>132234344550</v>
      </c>
      <c r="H16" s="45">
        <f>H14-H15</f>
        <v>72763700175</v>
      </c>
      <c r="I16" s="45">
        <f>I14-I15</f>
        <v>103761038925</v>
      </c>
    </row>
    <row r="17" spans="1:18" x14ac:dyDescent="0.25">
      <c r="A17" s="46"/>
      <c r="B17" s="47"/>
      <c r="C17" s="41"/>
      <c r="D17" s="42" t="s">
        <v>114</v>
      </c>
      <c r="E17" s="45"/>
      <c r="F17" s="42"/>
      <c r="G17" s="42"/>
      <c r="H17" s="42"/>
      <c r="I17" s="42"/>
    </row>
    <row r="18" spans="1:18" x14ac:dyDescent="0.25">
      <c r="A18" s="72" t="s">
        <v>91</v>
      </c>
      <c r="B18" s="47"/>
      <c r="C18" s="41"/>
      <c r="D18" s="42">
        <f>D16</f>
        <v>-34132176000</v>
      </c>
      <c r="E18" s="45">
        <f>D18+E16</f>
        <v>126889163550</v>
      </c>
      <c r="F18" s="45">
        <f>E18+F16</f>
        <v>265353088725</v>
      </c>
      <c r="G18" s="45">
        <f>F18+G16</f>
        <v>397587433275</v>
      </c>
      <c r="H18" s="45">
        <f>G18+H16</f>
        <v>470351133450</v>
      </c>
      <c r="I18" s="45">
        <f>H18+I16</f>
        <v>574112172375</v>
      </c>
    </row>
    <row r="19" spans="1:18" x14ac:dyDescent="0.25">
      <c r="A19" s="48"/>
      <c r="B19" s="49"/>
      <c r="C19" s="50"/>
      <c r="D19" s="51"/>
      <c r="E19" s="52"/>
      <c r="F19" s="51"/>
      <c r="G19" s="51"/>
      <c r="H19" s="51"/>
      <c r="I19" s="51"/>
    </row>
    <row r="20" spans="1:18" x14ac:dyDescent="0.25">
      <c r="O20" s="139" t="s">
        <v>140</v>
      </c>
      <c r="P20" s="139"/>
    </row>
    <row r="21" spans="1:18" x14ac:dyDescent="0.25">
      <c r="D21" s="108">
        <f>D18</f>
        <v>-34132176000</v>
      </c>
      <c r="E21" s="128">
        <f>((E4*E5)+E8+E7)</f>
        <v>67436730600</v>
      </c>
      <c r="F21" s="128">
        <f t="shared" ref="F21:I21" si="5">((F4*F5)+F8+F7)</f>
        <v>59485458100</v>
      </c>
      <c r="G21" s="128">
        <f t="shared" si="5"/>
        <v>57289590600</v>
      </c>
      <c r="H21" s="128">
        <f t="shared" si="5"/>
        <v>36326758100</v>
      </c>
      <c r="I21" s="128">
        <f t="shared" si="5"/>
        <v>47253023100</v>
      </c>
      <c r="M21" s="70" t="s">
        <v>135</v>
      </c>
      <c r="N21" s="129" t="s">
        <v>136</v>
      </c>
      <c r="O21" s="129" t="s">
        <v>137</v>
      </c>
      <c r="P21" s="70" t="s">
        <v>144</v>
      </c>
      <c r="Q21" s="70" t="s">
        <v>143</v>
      </c>
      <c r="R21" s="70" t="s">
        <v>78</v>
      </c>
    </row>
    <row r="22" spans="1:18" x14ac:dyDescent="0.25">
      <c r="A22" s="54"/>
      <c r="B22" s="54"/>
      <c r="C22" s="55"/>
      <c r="D22" s="56">
        <v>-34132176000</v>
      </c>
      <c r="E22" s="56">
        <v>67436730600</v>
      </c>
      <c r="F22" s="56">
        <v>59485458100</v>
      </c>
      <c r="G22" s="56">
        <v>57289590600</v>
      </c>
      <c r="H22" s="56">
        <v>36326758100</v>
      </c>
      <c r="I22" s="56">
        <v>47253023100</v>
      </c>
      <c r="M22" s="11">
        <v>0</v>
      </c>
      <c r="N22" s="11">
        <v>0</v>
      </c>
      <c r="O22" s="131">
        <v>-43622452500</v>
      </c>
      <c r="P22" s="133">
        <f>N22-(-O22)</f>
        <v>-43622452500</v>
      </c>
      <c r="Q22" s="134">
        <v>0</v>
      </c>
      <c r="R22" s="133">
        <f>P22-(-Q22)</f>
        <v>-43622452500</v>
      </c>
    </row>
    <row r="23" spans="1:18" x14ac:dyDescent="0.25">
      <c r="A23" s="54"/>
      <c r="B23" s="54"/>
      <c r="C23" s="55"/>
      <c r="D23" s="54"/>
      <c r="E23" s="57"/>
      <c r="F23" s="57"/>
      <c r="G23" s="57"/>
      <c r="H23" s="57"/>
      <c r="M23" s="11">
        <v>1</v>
      </c>
      <c r="N23" s="138">
        <v>282131850000</v>
      </c>
      <c r="O23" s="131">
        <v>61425310500</v>
      </c>
      <c r="P23" s="133">
        <f>(N23-O23)</f>
        <v>220706539500</v>
      </c>
      <c r="Q23" s="135">
        <f>P23*25%</f>
        <v>55176634875</v>
      </c>
      <c r="R23" s="133">
        <f>(P23-Q23)</f>
        <v>165529904625</v>
      </c>
    </row>
    <row r="24" spans="1:18" x14ac:dyDescent="0.25">
      <c r="A24" s="113" t="s">
        <v>79</v>
      </c>
      <c r="B24" s="114">
        <v>0.1</v>
      </c>
      <c r="C24" s="117"/>
      <c r="D24" s="54"/>
      <c r="E24" s="61"/>
      <c r="F24" s="54"/>
      <c r="G24" s="54"/>
      <c r="H24" s="56"/>
      <c r="M24" s="11">
        <v>2</v>
      </c>
      <c r="N24" s="138">
        <v>244104025000</v>
      </c>
      <c r="O24" s="131">
        <v>53474038000</v>
      </c>
      <c r="P24" s="133">
        <f t="shared" ref="P24:P27" si="6">(N24-O24)</f>
        <v>190629987000</v>
      </c>
      <c r="Q24" s="135">
        <f t="shared" ref="Q24:Q27" si="7">P24*25%</f>
        <v>47657496750</v>
      </c>
      <c r="R24" s="133">
        <f t="shared" ref="R24:R27" si="8">(P24-Q24)</f>
        <v>142972490250</v>
      </c>
    </row>
    <row r="25" spans="1:18" x14ac:dyDescent="0.25">
      <c r="A25" s="113" t="s">
        <v>80</v>
      </c>
      <c r="B25" s="111">
        <f>((E16/(1+B24)^1)+(F16/(1+B24)^2)+(G16/(1+B24)^3)+(H16/(1+B24)^4)+(I16/(1+B24)^5))+D16</f>
        <v>440159504067.85419</v>
      </c>
      <c r="C25" s="118"/>
      <c r="D25" s="64"/>
      <c r="E25" s="65"/>
      <c r="F25" s="56"/>
      <c r="G25" s="54"/>
      <c r="H25" s="54"/>
      <c r="M25" s="11">
        <v>3</v>
      </c>
      <c r="N25" s="138">
        <v>233602050000</v>
      </c>
      <c r="O25" s="131">
        <v>51278170500</v>
      </c>
      <c r="P25" s="133">
        <f t="shared" si="6"/>
        <v>182323879500</v>
      </c>
      <c r="Q25" s="135">
        <f t="shared" si="7"/>
        <v>45580969875</v>
      </c>
      <c r="R25" s="133">
        <f t="shared" si="8"/>
        <v>136742909625</v>
      </c>
    </row>
    <row r="26" spans="1:18" x14ac:dyDescent="0.25">
      <c r="A26" s="115" t="s">
        <v>81</v>
      </c>
      <c r="B26" s="116">
        <f>IRR(D16:I16,B24)</f>
        <v>4.5837350989065744</v>
      </c>
      <c r="C26" s="120"/>
      <c r="D26" s="66"/>
      <c r="E26" s="67"/>
      <c r="F26" s="57"/>
      <c r="G26" s="57"/>
      <c r="H26" s="57"/>
      <c r="M26" s="11">
        <v>4</v>
      </c>
      <c r="N26" s="138">
        <v>133345025000</v>
      </c>
      <c r="O26" s="131">
        <v>30315338000</v>
      </c>
      <c r="P26" s="133">
        <f t="shared" si="6"/>
        <v>103029687000</v>
      </c>
      <c r="Q26" s="135">
        <f t="shared" si="7"/>
        <v>25757421750</v>
      </c>
      <c r="R26" s="133">
        <f t="shared" si="8"/>
        <v>77272265250</v>
      </c>
    </row>
    <row r="27" spans="1:18" x14ac:dyDescent="0.25">
      <c r="A27" s="84"/>
      <c r="B27" s="85"/>
      <c r="C27" s="86"/>
      <c r="D27" s="68"/>
      <c r="E27" s="54"/>
      <c r="F27" s="54"/>
      <c r="G27" s="54"/>
      <c r="H27" s="54"/>
      <c r="M27" s="11">
        <v>5</v>
      </c>
      <c r="N27" s="138">
        <v>185601075000</v>
      </c>
      <c r="O27" s="132">
        <v>41241603000</v>
      </c>
      <c r="P27" s="133">
        <f t="shared" si="6"/>
        <v>144359472000</v>
      </c>
      <c r="Q27" s="135">
        <f t="shared" si="7"/>
        <v>36089868000</v>
      </c>
      <c r="R27" s="133">
        <f t="shared" si="8"/>
        <v>108269604000</v>
      </c>
    </row>
    <row r="28" spans="1:18" x14ac:dyDescent="0.25">
      <c r="A28" s="81"/>
      <c r="B28" s="82"/>
      <c r="C28" s="83"/>
      <c r="D28" s="54"/>
      <c r="E28" s="54"/>
      <c r="F28" s="54"/>
      <c r="G28" s="54"/>
      <c r="H28" s="54"/>
      <c r="M28" s="11" t="s">
        <v>138</v>
      </c>
      <c r="N28" s="11"/>
      <c r="O28" s="11"/>
      <c r="P28" s="11"/>
      <c r="Q28" s="11"/>
      <c r="R28" s="133">
        <f>SUM(R22:R27)</f>
        <v>587164721250</v>
      </c>
    </row>
    <row r="33" spans="1:9" x14ac:dyDescent="0.25">
      <c r="B33" s="154" t="s">
        <v>67</v>
      </c>
      <c r="C33" s="154"/>
      <c r="D33" s="154"/>
      <c r="E33" s="154"/>
    </row>
    <row r="34" spans="1:9" x14ac:dyDescent="0.25">
      <c r="A34" s="69" t="s">
        <v>68</v>
      </c>
      <c r="B34" s="69"/>
      <c r="C34" s="70" t="s">
        <v>69</v>
      </c>
      <c r="D34" s="70" t="s">
        <v>85</v>
      </c>
      <c r="E34" s="70" t="s">
        <v>86</v>
      </c>
      <c r="F34" s="70" t="s">
        <v>87</v>
      </c>
      <c r="G34" s="70" t="s">
        <v>88</v>
      </c>
      <c r="H34" s="70" t="s">
        <v>89</v>
      </c>
      <c r="I34" s="70" t="s">
        <v>90</v>
      </c>
    </row>
    <row r="35" spans="1:9" x14ac:dyDescent="0.25">
      <c r="A35" s="71" t="s">
        <v>84</v>
      </c>
      <c r="B35" s="40"/>
      <c r="C35" s="41" t="s">
        <v>70</v>
      </c>
      <c r="D35" s="42"/>
      <c r="E35" s="43">
        <v>1025934</v>
      </c>
      <c r="F35" s="43">
        <v>887651</v>
      </c>
      <c r="G35" s="43">
        <v>849462</v>
      </c>
      <c r="H35" s="43">
        <v>484891</v>
      </c>
      <c r="I35" s="43">
        <v>674913</v>
      </c>
    </row>
    <row r="36" spans="1:9" x14ac:dyDescent="0.25">
      <c r="A36" s="72" t="s">
        <v>130</v>
      </c>
      <c r="B36" s="44"/>
      <c r="C36" s="41" t="s">
        <v>131</v>
      </c>
      <c r="D36" s="42"/>
      <c r="E36" s="43">
        <v>30000</v>
      </c>
      <c r="F36" s="43">
        <v>30000</v>
      </c>
      <c r="G36" s="43">
        <v>30000</v>
      </c>
      <c r="H36" s="43">
        <v>30000</v>
      </c>
      <c r="I36" s="43">
        <v>30000</v>
      </c>
    </row>
    <row r="37" spans="1:9" x14ac:dyDescent="0.25">
      <c r="A37" s="72" t="s">
        <v>111</v>
      </c>
      <c r="B37" s="44"/>
      <c r="C37" s="21" t="s">
        <v>1</v>
      </c>
      <c r="D37" s="108">
        <v>43622452500</v>
      </c>
      <c r="E37" s="43"/>
      <c r="F37" s="43"/>
      <c r="G37" s="43"/>
      <c r="H37" s="43"/>
      <c r="I37" s="43"/>
    </row>
    <row r="38" spans="1:9" x14ac:dyDescent="0.25">
      <c r="A38" s="72" t="s">
        <v>92</v>
      </c>
      <c r="B38" s="44"/>
      <c r="C38" s="21" t="s">
        <v>1</v>
      </c>
      <c r="D38" s="74"/>
      <c r="E38" s="127">
        <f>E43*10%</f>
        <v>28213185000</v>
      </c>
      <c r="F38" s="127">
        <f t="shared" ref="F38:I38" si="9">F43*10%</f>
        <v>24410402500</v>
      </c>
      <c r="G38" s="127">
        <f t="shared" si="9"/>
        <v>23360205000</v>
      </c>
      <c r="H38" s="127">
        <f t="shared" si="9"/>
        <v>13334502500</v>
      </c>
      <c r="I38" s="127">
        <f t="shared" si="9"/>
        <v>18560107500</v>
      </c>
    </row>
    <row r="39" spans="1:9" x14ac:dyDescent="0.25">
      <c r="A39" s="72" t="s">
        <v>112</v>
      </c>
      <c r="B39" s="47"/>
      <c r="C39" s="21"/>
      <c r="D39" s="75"/>
      <c r="E39" s="75">
        <v>2434105500</v>
      </c>
      <c r="F39" s="75">
        <v>2434105500</v>
      </c>
      <c r="G39" s="75">
        <v>2434105500</v>
      </c>
      <c r="H39" s="75">
        <v>2434105500</v>
      </c>
      <c r="I39" s="75">
        <v>2434105500</v>
      </c>
    </row>
    <row r="40" spans="1:9" x14ac:dyDescent="0.25">
      <c r="A40" s="46"/>
      <c r="B40" s="44"/>
      <c r="C40" s="21"/>
      <c r="D40" s="42"/>
      <c r="E40" s="45"/>
      <c r="F40" s="45"/>
      <c r="G40" s="45"/>
      <c r="H40" s="45"/>
      <c r="I40" s="43"/>
    </row>
    <row r="41" spans="1:9" x14ac:dyDescent="0.25">
      <c r="A41" s="46"/>
      <c r="B41" s="44"/>
      <c r="C41" s="21"/>
      <c r="D41" s="42"/>
      <c r="E41" s="45"/>
      <c r="F41" s="42"/>
      <c r="G41" s="42"/>
      <c r="H41" s="42"/>
      <c r="I41" s="42"/>
    </row>
    <row r="42" spans="1:9" x14ac:dyDescent="0.25">
      <c r="A42" s="53" t="s">
        <v>74</v>
      </c>
      <c r="B42" s="40"/>
      <c r="C42" s="21" t="s">
        <v>71</v>
      </c>
      <c r="D42" s="44"/>
      <c r="E42" s="43">
        <v>275000</v>
      </c>
      <c r="F42" s="43">
        <v>275000</v>
      </c>
      <c r="G42" s="43">
        <v>275000</v>
      </c>
      <c r="H42" s="43">
        <v>275000</v>
      </c>
      <c r="I42" s="43">
        <v>275000</v>
      </c>
    </row>
    <row r="43" spans="1:9" x14ac:dyDescent="0.25">
      <c r="A43" s="49" t="s">
        <v>75</v>
      </c>
      <c r="B43" s="47"/>
      <c r="C43" s="21" t="s">
        <v>1</v>
      </c>
      <c r="D43" s="42"/>
      <c r="E43" s="43">
        <f>E35*E42</f>
        <v>282131850000</v>
      </c>
      <c r="F43" s="43">
        <f>F35*F42</f>
        <v>244104025000</v>
      </c>
      <c r="G43" s="43">
        <f>G35*G42</f>
        <v>233602050000</v>
      </c>
      <c r="H43" s="43">
        <f>H35*H42</f>
        <v>133345025000</v>
      </c>
      <c r="I43" s="43">
        <f>I35*I42</f>
        <v>185601075000</v>
      </c>
    </row>
    <row r="44" spans="1:9" x14ac:dyDescent="0.25">
      <c r="A44" s="46"/>
      <c r="B44" s="47"/>
      <c r="C44" s="41"/>
      <c r="D44" s="42"/>
      <c r="E44" s="45"/>
      <c r="F44" s="42"/>
      <c r="G44" s="42"/>
      <c r="H44" s="42"/>
      <c r="I44" s="42"/>
    </row>
    <row r="45" spans="1:9" x14ac:dyDescent="0.25">
      <c r="A45" s="49" t="s">
        <v>141</v>
      </c>
      <c r="B45" s="47"/>
      <c r="C45" s="21" t="s">
        <v>1</v>
      </c>
      <c r="D45" s="42">
        <f>-D37</f>
        <v>-43622452500</v>
      </c>
      <c r="E45" s="45">
        <f t="shared" ref="E45:I45" si="10">E43-((E35*E36)+E39+E38)</f>
        <v>220706539500</v>
      </c>
      <c r="F45" s="45">
        <f t="shared" si="10"/>
        <v>190629987000</v>
      </c>
      <c r="G45" s="45">
        <f t="shared" si="10"/>
        <v>182323879500</v>
      </c>
      <c r="H45" s="45">
        <f t="shared" si="10"/>
        <v>103029687000</v>
      </c>
      <c r="I45" s="45">
        <f t="shared" si="10"/>
        <v>144359472000</v>
      </c>
    </row>
    <row r="46" spans="1:9" x14ac:dyDescent="0.25">
      <c r="A46" s="51" t="s">
        <v>142</v>
      </c>
      <c r="B46" s="47"/>
      <c r="C46" s="41"/>
      <c r="D46" s="42"/>
      <c r="E46" s="45">
        <f>E45*25%</f>
        <v>55176634875</v>
      </c>
      <c r="F46" s="45">
        <f t="shared" ref="F46:I46" si="11">F45*25%</f>
        <v>47657496750</v>
      </c>
      <c r="G46" s="45">
        <f t="shared" si="11"/>
        <v>45580969875</v>
      </c>
      <c r="H46" s="45">
        <f t="shared" si="11"/>
        <v>25757421750</v>
      </c>
      <c r="I46" s="45">
        <f t="shared" si="11"/>
        <v>36089868000</v>
      </c>
    </row>
    <row r="47" spans="1:9" x14ac:dyDescent="0.25">
      <c r="A47" s="49" t="s">
        <v>78</v>
      </c>
      <c r="B47" s="47"/>
      <c r="C47" s="41"/>
      <c r="D47" s="42">
        <f>D45</f>
        <v>-43622452500</v>
      </c>
      <c r="E47" s="45">
        <f>E45-E46</f>
        <v>165529904625</v>
      </c>
      <c r="F47" s="45">
        <f>F45-F46</f>
        <v>142972490250</v>
      </c>
      <c r="G47" s="45">
        <f>G45-G46</f>
        <v>136742909625</v>
      </c>
      <c r="H47" s="45">
        <f>H45-H46</f>
        <v>77272265250</v>
      </c>
      <c r="I47" s="45">
        <f>I45-I46</f>
        <v>108269604000</v>
      </c>
    </row>
    <row r="48" spans="1:9" x14ac:dyDescent="0.25">
      <c r="A48" s="46"/>
      <c r="B48" s="47"/>
      <c r="C48" s="41"/>
      <c r="D48" s="42"/>
      <c r="E48" s="45"/>
      <c r="F48" s="42"/>
      <c r="G48" s="42"/>
      <c r="H48" s="42"/>
      <c r="I48" s="42"/>
    </row>
    <row r="49" spans="1:9" x14ac:dyDescent="0.25">
      <c r="A49" s="72" t="s">
        <v>91</v>
      </c>
      <c r="B49" s="47"/>
      <c r="C49" s="41"/>
      <c r="D49" s="42">
        <f>D47</f>
        <v>-43622452500</v>
      </c>
      <c r="E49" s="45">
        <f>D49+E47</f>
        <v>121907452125</v>
      </c>
      <c r="F49" s="45">
        <f>E49+F47</f>
        <v>264879942375</v>
      </c>
      <c r="G49" s="45">
        <f>F49+G47</f>
        <v>401622852000</v>
      </c>
      <c r="H49" s="45">
        <f>G49+H47</f>
        <v>478895117250</v>
      </c>
      <c r="I49" s="45">
        <f>H49+I47</f>
        <v>587164721250</v>
      </c>
    </row>
    <row r="50" spans="1:9" x14ac:dyDescent="0.25">
      <c r="A50" s="48"/>
      <c r="B50" s="49"/>
      <c r="C50" s="50"/>
      <c r="D50" s="51"/>
      <c r="E50" s="52"/>
      <c r="F50" s="51"/>
      <c r="G50" s="51"/>
      <c r="H50" s="51"/>
      <c r="I50" s="51"/>
    </row>
    <row r="52" spans="1:9" x14ac:dyDescent="0.25">
      <c r="D52" s="108">
        <f>D49</f>
        <v>-43622452500</v>
      </c>
      <c r="E52" s="128">
        <f>((E35*E36)+E39+E38)</f>
        <v>61425310500</v>
      </c>
      <c r="F52" s="128">
        <f t="shared" ref="F52:I52" si="12">((F35*F36)+F39+F38)</f>
        <v>53474038000</v>
      </c>
      <c r="G52" s="128">
        <f t="shared" si="12"/>
        <v>51278170500</v>
      </c>
      <c r="H52" s="128">
        <f t="shared" si="12"/>
        <v>30315338000</v>
      </c>
      <c r="I52" s="128">
        <f t="shared" si="12"/>
        <v>41241603000</v>
      </c>
    </row>
    <row r="53" spans="1:9" x14ac:dyDescent="0.25">
      <c r="A53" s="54"/>
      <c r="B53" s="54"/>
      <c r="C53" s="55"/>
      <c r="D53" s="54">
        <v>-43622452500</v>
      </c>
      <c r="E53" s="56">
        <v>61425310500</v>
      </c>
      <c r="F53" s="54">
        <v>53474038000</v>
      </c>
      <c r="G53" s="54">
        <v>51278170500</v>
      </c>
      <c r="H53" s="54">
        <v>30315338000</v>
      </c>
      <c r="I53">
        <v>41241603000</v>
      </c>
    </row>
    <row r="54" spans="1:9" x14ac:dyDescent="0.25">
      <c r="A54" s="54"/>
      <c r="B54" s="54"/>
      <c r="C54" s="55"/>
      <c r="D54" s="54"/>
      <c r="E54" s="57"/>
      <c r="F54" s="57"/>
      <c r="G54" s="57"/>
      <c r="H54" s="57"/>
    </row>
    <row r="55" spans="1:9" x14ac:dyDescent="0.25">
      <c r="A55" s="113" t="s">
        <v>79</v>
      </c>
      <c r="B55" s="114">
        <v>0.1</v>
      </c>
      <c r="C55" s="117"/>
      <c r="D55" s="54"/>
      <c r="E55" s="61"/>
      <c r="F55" s="54"/>
      <c r="G55" s="54"/>
      <c r="H55" s="56"/>
    </row>
    <row r="56" spans="1:9" x14ac:dyDescent="0.25">
      <c r="A56" s="113" t="s">
        <v>80</v>
      </c>
      <c r="B56" s="111">
        <f>((E47/(1+B55)^1)+(F47/(1+B55)^2)+(G47/(1+B55)^3)+(H47/(1+B55)^4)+(I47/(1+B55)^5))+D47</f>
        <v>447760236403.18115</v>
      </c>
      <c r="C56" s="118"/>
      <c r="D56" s="64"/>
      <c r="E56" s="65"/>
      <c r="F56" s="56"/>
      <c r="G56" s="54"/>
      <c r="H56" s="54"/>
    </row>
    <row r="57" spans="1:9" x14ac:dyDescent="0.25">
      <c r="A57" s="115" t="s">
        <v>81</v>
      </c>
      <c r="B57" s="116">
        <f>IRR(D47:I47,B55)</f>
        <v>3.6641101998887402</v>
      </c>
      <c r="C57" s="119"/>
      <c r="D57" s="66"/>
      <c r="E57" s="67"/>
      <c r="F57" s="57"/>
      <c r="G57" s="57"/>
      <c r="H57" s="57"/>
    </row>
    <row r="58" spans="1:9" x14ac:dyDescent="0.25">
      <c r="D58" s="66"/>
      <c r="E58" s="67"/>
      <c r="F58" s="57"/>
      <c r="G58" s="57"/>
      <c r="H58" s="57"/>
    </row>
    <row r="60" spans="1:9" x14ac:dyDescent="0.25">
      <c r="A60" s="112">
        <v>3613477737259.0937</v>
      </c>
    </row>
  </sheetData>
  <mergeCells count="2">
    <mergeCell ref="B33:E33"/>
    <mergeCell ref="O6:P6"/>
  </mergeCells>
  <pageMargins left="0.7" right="0.7" top="0.75" bottom="0.75" header="0.3" footer="0.3"/>
  <ignoredErrors>
    <ignoredError sqref="Q9 Q10:Q13 Q23:Q2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Normal="100" workbookViewId="0">
      <selection activeCell="F4" sqref="F4:H23"/>
    </sheetView>
  </sheetViews>
  <sheetFormatPr defaultRowHeight="15" x14ac:dyDescent="0.25"/>
  <cols>
    <col min="1" max="1" width="11.42578125" customWidth="1"/>
    <col min="2" max="2" width="29.140625" customWidth="1"/>
    <col min="3" max="3" width="23.7109375" customWidth="1"/>
    <col min="6" max="6" width="12.140625" customWidth="1"/>
    <col min="7" max="7" width="24.7109375" customWidth="1"/>
    <col min="8" max="8" width="27.28515625" customWidth="1"/>
    <col min="10" max="10" width="9.140625" customWidth="1"/>
    <col min="11" max="11" width="18.5703125" customWidth="1"/>
    <col min="12" max="13" width="23.85546875" customWidth="1"/>
  </cols>
  <sheetData>
    <row r="2" spans="1:13" x14ac:dyDescent="0.25">
      <c r="B2" t="s">
        <v>125</v>
      </c>
      <c r="G2" t="s">
        <v>128</v>
      </c>
    </row>
    <row r="3" spans="1:13" x14ac:dyDescent="0.25">
      <c r="A3" t="s">
        <v>123</v>
      </c>
      <c r="B3" s="126">
        <v>0.1</v>
      </c>
      <c r="G3" s="124"/>
    </row>
    <row r="4" spans="1:13" x14ac:dyDescent="0.25">
      <c r="A4" s="70" t="s">
        <v>122</v>
      </c>
      <c r="B4" s="92" t="s">
        <v>121</v>
      </c>
      <c r="C4" s="92" t="s">
        <v>120</v>
      </c>
      <c r="F4" s="70" t="s">
        <v>122</v>
      </c>
      <c r="G4" s="92" t="s">
        <v>121</v>
      </c>
      <c r="H4" s="92" t="s">
        <v>120</v>
      </c>
    </row>
    <row r="5" spans="1:13" x14ac:dyDescent="0.25">
      <c r="A5" s="13">
        <v>0</v>
      </c>
      <c r="B5" s="132">
        <v>-33004000000</v>
      </c>
      <c r="C5" s="123">
        <f>B5</f>
        <v>-33004000000</v>
      </c>
      <c r="F5" s="13">
        <v>0</v>
      </c>
      <c r="G5" s="132">
        <v>-34132176000</v>
      </c>
      <c r="H5" s="123">
        <f>G5</f>
        <v>-34132176000</v>
      </c>
      <c r="K5" s="70" t="s">
        <v>117</v>
      </c>
      <c r="L5" s="92" t="s">
        <v>65</v>
      </c>
      <c r="M5" s="92" t="s">
        <v>66</v>
      </c>
    </row>
    <row r="6" spans="1:13" x14ac:dyDescent="0.25">
      <c r="A6" s="13">
        <v>1</v>
      </c>
      <c r="B6" s="132">
        <v>158505190290.59998</v>
      </c>
      <c r="C6" s="123">
        <f>B6/(1+$B$3)^1</f>
        <v>144095627536.90906</v>
      </c>
      <c r="F6" s="13">
        <v>1</v>
      </c>
      <c r="G6" s="132">
        <v>161021339550</v>
      </c>
      <c r="H6" s="123">
        <f>G6/(1+$B$3)^1</f>
        <v>146383035954.54544</v>
      </c>
      <c r="K6" s="149" t="s">
        <v>118</v>
      </c>
      <c r="L6" s="153">
        <v>472141050909.82013</v>
      </c>
      <c r="M6" s="153">
        <v>447760236403.18115</v>
      </c>
    </row>
    <row r="7" spans="1:13" x14ac:dyDescent="0.25">
      <c r="A7" s="13">
        <v>2</v>
      </c>
      <c r="B7" s="132">
        <v>135947775915.59999</v>
      </c>
      <c r="C7" s="123">
        <f>B7/(1+$B$3)^2</f>
        <v>112353533814.54543</v>
      </c>
      <c r="F7" s="13">
        <v>2</v>
      </c>
      <c r="G7" s="132">
        <v>138463925175</v>
      </c>
      <c r="H7" s="123">
        <f>G7/(1+$B$3)^2</f>
        <v>114432996012.39668</v>
      </c>
      <c r="K7" s="149" t="s">
        <v>119</v>
      </c>
      <c r="L7" s="152">
        <v>431749494745.46375</v>
      </c>
      <c r="M7" s="153">
        <v>440159504067.85419</v>
      </c>
    </row>
    <row r="8" spans="1:13" x14ac:dyDescent="0.25">
      <c r="A8" s="13">
        <v>3</v>
      </c>
      <c r="B8" s="132">
        <v>129718195290.59999</v>
      </c>
      <c r="C8" s="123">
        <f>B8/(1+$B$3)^3</f>
        <v>97459200068.069092</v>
      </c>
      <c r="F8" s="13">
        <v>3</v>
      </c>
      <c r="G8" s="132">
        <v>132234344550</v>
      </c>
      <c r="H8" s="123">
        <f>G8/(1+$B$3)^3</f>
        <v>99349620247.933853</v>
      </c>
      <c r="L8" s="153">
        <v>472141050909.82013</v>
      </c>
    </row>
    <row r="9" spans="1:13" x14ac:dyDescent="0.25">
      <c r="A9" s="13">
        <v>4</v>
      </c>
      <c r="B9" s="132">
        <v>70247550915.600006</v>
      </c>
      <c r="C9" s="123">
        <f>B9/(1+$B$3)^4</f>
        <v>47980022481.797684</v>
      </c>
      <c r="F9" s="13">
        <v>4</v>
      </c>
      <c r="G9" s="132">
        <v>72763700175</v>
      </c>
      <c r="H9" s="123">
        <f>G9/(1+$B$3)^4</f>
        <v>49698586281.674736</v>
      </c>
    </row>
    <row r="10" spans="1:13" x14ac:dyDescent="0.25">
      <c r="A10" s="13">
        <v>5</v>
      </c>
      <c r="B10" s="132">
        <v>101244889665.60001</v>
      </c>
      <c r="C10" s="123">
        <f>B10/(1+$B$3)^5</f>
        <v>62865110844.142525</v>
      </c>
      <c r="F10" s="13">
        <v>5</v>
      </c>
      <c r="G10" s="132">
        <v>103761038925</v>
      </c>
      <c r="H10" s="123">
        <f>G10/(1+$B$3)^5</f>
        <v>64427441571.303474</v>
      </c>
    </row>
    <row r="11" spans="1:13" x14ac:dyDescent="0.25">
      <c r="A11" s="13" t="s">
        <v>124</v>
      </c>
      <c r="B11" s="122"/>
      <c r="C11" s="125">
        <f>SUM(C5:C10)</f>
        <v>431749494745.46375</v>
      </c>
      <c r="F11" s="13" t="s">
        <v>124</v>
      </c>
      <c r="G11" s="122"/>
      <c r="H11" s="125">
        <f>SUM(H5:H10)</f>
        <v>440159504067.85419</v>
      </c>
    </row>
    <row r="15" spans="1:13" x14ac:dyDescent="0.25">
      <c r="B15" t="s">
        <v>126</v>
      </c>
      <c r="G15" t="s">
        <v>127</v>
      </c>
    </row>
    <row r="16" spans="1:13" x14ac:dyDescent="0.25">
      <c r="A16" s="70" t="s">
        <v>122</v>
      </c>
      <c r="B16" s="92" t="s">
        <v>121</v>
      </c>
      <c r="C16" s="92" t="s">
        <v>120</v>
      </c>
      <c r="F16" s="70" t="s">
        <v>122</v>
      </c>
      <c r="G16" s="92" t="s">
        <v>121</v>
      </c>
      <c r="H16" s="92" t="s">
        <v>120</v>
      </c>
    </row>
    <row r="17" spans="1:8" x14ac:dyDescent="0.25">
      <c r="A17" s="13">
        <v>0</v>
      </c>
      <c r="B17" s="131">
        <v>-15416368029.6</v>
      </c>
      <c r="C17" s="123">
        <f>B17</f>
        <v>-15416368029.6</v>
      </c>
      <c r="F17" s="13">
        <v>0</v>
      </c>
      <c r="G17" s="131">
        <v>-43622452500</v>
      </c>
      <c r="H17" s="123">
        <f>G17</f>
        <v>-43622452500</v>
      </c>
    </row>
    <row r="18" spans="1:8" x14ac:dyDescent="0.25">
      <c r="A18" s="13">
        <v>1</v>
      </c>
      <c r="B18" s="131">
        <v>164520808045.20001</v>
      </c>
      <c r="C18" s="123">
        <f>B18/(1+$B$3)^1</f>
        <v>149564370950.18182</v>
      </c>
      <c r="F18" s="13">
        <v>1</v>
      </c>
      <c r="G18" s="131">
        <v>165529904625</v>
      </c>
      <c r="H18" s="123">
        <f>G18/(1+$B$3)^1</f>
        <v>150481731477.27271</v>
      </c>
    </row>
    <row r="19" spans="1:8" x14ac:dyDescent="0.25">
      <c r="A19" s="13">
        <v>2</v>
      </c>
      <c r="B19" s="131">
        <v>141963393670.20001</v>
      </c>
      <c r="C19" s="123">
        <f>B19/(1+$B$3)^2</f>
        <v>117325118735.70247</v>
      </c>
      <c r="F19" s="13">
        <v>2</v>
      </c>
      <c r="G19" s="131">
        <v>142972490250</v>
      </c>
      <c r="H19" s="123">
        <f>G19/(1+$B$3)^2</f>
        <v>118159082851.23965</v>
      </c>
    </row>
    <row r="20" spans="1:8" x14ac:dyDescent="0.25">
      <c r="A20" s="13">
        <v>3</v>
      </c>
      <c r="B20" s="131">
        <v>135733813045.20001</v>
      </c>
      <c r="C20" s="123">
        <f>B20/(1+$B$3)^3</f>
        <v>101978822723.6664</v>
      </c>
      <c r="F20" s="13">
        <v>3</v>
      </c>
      <c r="G20" s="131">
        <v>136742909625</v>
      </c>
      <c r="H20" s="123">
        <f>G20/(1+$B$3)^3</f>
        <v>102736971919.60928</v>
      </c>
    </row>
    <row r="21" spans="1:8" x14ac:dyDescent="0.25">
      <c r="A21" s="13">
        <v>4</v>
      </c>
      <c r="B21" s="131">
        <v>76263168670.200012</v>
      </c>
      <c r="C21" s="123">
        <f>B21/(1+$B$3)^4</f>
        <v>52088770350.522499</v>
      </c>
      <c r="F21" s="13">
        <v>4</v>
      </c>
      <c r="G21" s="131">
        <v>77272265250</v>
      </c>
      <c r="H21" s="123">
        <f>G21/(1+$B$3)^4</f>
        <v>52777996892.288765</v>
      </c>
    </row>
    <row r="22" spans="1:8" x14ac:dyDescent="0.25">
      <c r="A22" s="13">
        <v>5</v>
      </c>
      <c r="B22" s="132">
        <v>107260507420.20001</v>
      </c>
      <c r="C22" s="123">
        <f>B22/(1+$B$3)^5</f>
        <v>66600336179.346901</v>
      </c>
      <c r="F22" s="13">
        <v>5</v>
      </c>
      <c r="G22" s="132">
        <v>108269604000</v>
      </c>
      <c r="H22" s="123">
        <f>G22/(1+$B$3)^5</f>
        <v>67226905762.770775</v>
      </c>
    </row>
    <row r="23" spans="1:8" x14ac:dyDescent="0.25">
      <c r="A23" s="13" t="s">
        <v>124</v>
      </c>
      <c r="B23" s="122"/>
      <c r="C23" s="125">
        <f>SUM(C17:C22)</f>
        <v>472141050909.82013</v>
      </c>
      <c r="F23" s="13" t="s">
        <v>124</v>
      </c>
      <c r="G23" s="122"/>
      <c r="H23" s="125">
        <f>SUM(H17:H22)</f>
        <v>447760236403.18115</v>
      </c>
    </row>
    <row r="24" spans="1:8" x14ac:dyDescent="0.25">
      <c r="B24" s="54"/>
      <c r="C24" s="56"/>
      <c r="D24" s="54"/>
      <c r="E24" s="54"/>
      <c r="F24" s="5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"/>
  <sheetViews>
    <sheetView tabSelected="1" topLeftCell="C1" zoomScaleNormal="100" workbookViewId="0">
      <selection activeCell="P6" sqref="P6"/>
    </sheetView>
  </sheetViews>
  <sheetFormatPr defaultRowHeight="15" x14ac:dyDescent="0.25"/>
  <cols>
    <col min="1" max="1" width="10.42578125" customWidth="1"/>
    <col min="2" max="2" width="26.5703125" customWidth="1"/>
    <col min="3" max="3" width="21.85546875" customWidth="1"/>
    <col min="4" max="4" width="1.42578125" customWidth="1"/>
    <col min="5" max="5" width="2.5703125" customWidth="1"/>
    <col min="7" max="7" width="26.140625" customWidth="1"/>
    <col min="8" max="8" width="22" customWidth="1"/>
    <col min="10" max="10" width="16.7109375" customWidth="1"/>
    <col min="11" max="11" width="20.7109375" customWidth="1"/>
    <col min="12" max="12" width="19.85546875" customWidth="1"/>
  </cols>
  <sheetData>
    <row r="2" spans="1:12" x14ac:dyDescent="0.25">
      <c r="B2" t="s">
        <v>125</v>
      </c>
      <c r="G2" t="s">
        <v>125</v>
      </c>
    </row>
    <row r="3" spans="1:12" x14ac:dyDescent="0.25">
      <c r="A3" t="s">
        <v>123</v>
      </c>
      <c r="B3" s="142">
        <v>4.6665000000000001</v>
      </c>
      <c r="F3" t="s">
        <v>123</v>
      </c>
      <c r="G3" s="143">
        <v>4.6665999999999999</v>
      </c>
      <c r="J3" s="102"/>
      <c r="K3" s="102"/>
      <c r="L3" s="102"/>
    </row>
    <row r="4" spans="1:12" x14ac:dyDescent="0.25">
      <c r="A4" s="70" t="s">
        <v>122</v>
      </c>
      <c r="B4" s="92" t="s">
        <v>121</v>
      </c>
      <c r="C4" s="92" t="s">
        <v>120</v>
      </c>
      <c r="F4" s="70" t="s">
        <v>122</v>
      </c>
      <c r="G4" s="92" t="s">
        <v>121</v>
      </c>
      <c r="H4" s="92" t="s">
        <v>120</v>
      </c>
      <c r="J4" s="70" t="s">
        <v>117</v>
      </c>
      <c r="K4" s="92" t="s">
        <v>65</v>
      </c>
      <c r="L4" s="92" t="s">
        <v>66</v>
      </c>
    </row>
    <row r="5" spans="1:12" x14ac:dyDescent="0.25">
      <c r="A5" s="13">
        <v>0</v>
      </c>
      <c r="B5" s="138">
        <v>-33004000000</v>
      </c>
      <c r="C5" s="123">
        <f>B5</f>
        <v>-33004000000</v>
      </c>
      <c r="F5" s="13">
        <v>0</v>
      </c>
      <c r="G5" s="132">
        <v>-33004000000</v>
      </c>
      <c r="H5" s="123">
        <f>G5</f>
        <v>-33004000000</v>
      </c>
      <c r="J5" s="149" t="s">
        <v>118</v>
      </c>
      <c r="K5" s="150">
        <f>B15+((C23/(C23-H23)*(B15-G15)))</f>
        <v>10.539438496905328</v>
      </c>
      <c r="L5" s="150">
        <f>B40+((C48/(C48-H48)*(B40-G40)))</f>
        <v>3.6640897998705757</v>
      </c>
    </row>
    <row r="6" spans="1:12" x14ac:dyDescent="0.25">
      <c r="A6" s="13">
        <v>1</v>
      </c>
      <c r="B6" s="138">
        <v>158505190290.59998</v>
      </c>
      <c r="C6" s="123">
        <f>B6/(1+$B$3)^1</f>
        <v>27972326884.426006</v>
      </c>
      <c r="F6" s="13">
        <v>1</v>
      </c>
      <c r="G6" s="132">
        <v>158505190290.59998</v>
      </c>
      <c r="H6" s="123">
        <f>G6/(1+$G$3)^1</f>
        <v>27971833249.320576</v>
      </c>
      <c r="J6" s="149" t="s">
        <v>119</v>
      </c>
      <c r="K6" s="136">
        <v>4.4660000000000002</v>
      </c>
      <c r="L6" s="150">
        <f>B28+((C36/(C36-H36)*(B28-G28)))</f>
        <v>4.5836649006111294</v>
      </c>
    </row>
    <row r="7" spans="1:12" x14ac:dyDescent="0.25">
      <c r="A7" s="13">
        <v>2</v>
      </c>
      <c r="B7" s="138">
        <v>135947775915.59999</v>
      </c>
      <c r="C7" s="123">
        <f>B7/(1+$B$3)^2</f>
        <v>4233916812.3450885</v>
      </c>
      <c r="F7" s="13">
        <v>2</v>
      </c>
      <c r="G7" s="132">
        <v>135947775915.59999</v>
      </c>
      <c r="H7" s="123">
        <f>G7/(1+$G$3)^2</f>
        <v>4233767379.5475097</v>
      </c>
      <c r="J7" s="148"/>
      <c r="K7" s="151">
        <v>10.539438496905328</v>
      </c>
      <c r="L7" s="148"/>
    </row>
    <row r="8" spans="1:12" x14ac:dyDescent="0.25">
      <c r="A8" s="13">
        <v>3</v>
      </c>
      <c r="B8" s="138">
        <v>129718195290.59999</v>
      </c>
      <c r="C8" s="123">
        <f>B8/(1+$B$3)^3</f>
        <v>712945313.56598151</v>
      </c>
      <c r="F8" s="13">
        <v>3</v>
      </c>
      <c r="G8" s="132">
        <v>129718195290.59999</v>
      </c>
      <c r="H8" s="123">
        <f>G8/(1+$G$3)^3</f>
        <v>712907569.62435329</v>
      </c>
      <c r="J8" s="102"/>
      <c r="K8" s="102"/>
      <c r="L8" s="102"/>
    </row>
    <row r="9" spans="1:12" x14ac:dyDescent="0.25">
      <c r="A9" s="13">
        <v>4</v>
      </c>
      <c r="B9" s="138">
        <v>70247550915.600006</v>
      </c>
      <c r="C9" s="123">
        <f>B9/(1+$B$3)^4</f>
        <v>68135212.595952302</v>
      </c>
      <c r="F9" s="13">
        <v>4</v>
      </c>
      <c r="G9" s="132">
        <v>70247550915.600006</v>
      </c>
      <c r="H9" s="123">
        <f>G9/(1+$G$3)^4</f>
        <v>68130403.122263223</v>
      </c>
    </row>
    <row r="10" spans="1:12" x14ac:dyDescent="0.25">
      <c r="A10" s="13">
        <v>5</v>
      </c>
      <c r="B10" s="138">
        <v>101244889665.60001</v>
      </c>
      <c r="C10" s="123">
        <f>B10/(1+$B$3)^5</f>
        <v>17330003.319988925</v>
      </c>
      <c r="F10" s="13">
        <v>5</v>
      </c>
      <c r="G10" s="132">
        <v>101244889665.60001</v>
      </c>
      <c r="H10" s="123">
        <f>G10/(1+$G$3)^5</f>
        <v>17328474.238028288</v>
      </c>
      <c r="J10" s="146"/>
      <c r="K10" s="147"/>
      <c r="L10" s="147"/>
    </row>
    <row r="11" spans="1:12" x14ac:dyDescent="0.25">
      <c r="A11" s="13" t="s">
        <v>124</v>
      </c>
      <c r="B11" s="122"/>
      <c r="C11" s="125">
        <f>SUM(C5:C10)</f>
        <v>654226.25301753357</v>
      </c>
      <c r="F11" s="13" t="s">
        <v>124</v>
      </c>
      <c r="G11" s="122"/>
      <c r="H11" s="125">
        <f>SUM(H5:H10)</f>
        <v>-32924.147269815207</v>
      </c>
      <c r="J11" s="144"/>
      <c r="K11" s="145"/>
      <c r="L11" s="145"/>
    </row>
    <row r="12" spans="1:12" x14ac:dyDescent="0.25">
      <c r="J12" s="144"/>
      <c r="K12" s="145"/>
      <c r="L12" s="145"/>
    </row>
    <row r="13" spans="1:12" x14ac:dyDescent="0.25">
      <c r="J13" s="144"/>
      <c r="K13" s="145"/>
      <c r="L13" s="102"/>
    </row>
    <row r="14" spans="1:12" x14ac:dyDescent="0.25">
      <c r="B14" t="s">
        <v>126</v>
      </c>
      <c r="G14" t="s">
        <v>126</v>
      </c>
      <c r="J14" s="124"/>
      <c r="K14" s="38"/>
    </row>
    <row r="15" spans="1:12" x14ac:dyDescent="0.25">
      <c r="A15" t="s">
        <v>123</v>
      </c>
      <c r="B15" s="143">
        <v>10.5395</v>
      </c>
      <c r="F15" t="s">
        <v>123</v>
      </c>
      <c r="G15" s="143">
        <v>10.5496</v>
      </c>
      <c r="J15" s="124"/>
      <c r="K15" s="38"/>
    </row>
    <row r="16" spans="1:12" x14ac:dyDescent="0.25">
      <c r="A16" s="70" t="s">
        <v>122</v>
      </c>
      <c r="B16" s="92" t="s">
        <v>121</v>
      </c>
      <c r="C16" s="92" t="s">
        <v>120</v>
      </c>
      <c r="F16" s="70" t="s">
        <v>122</v>
      </c>
      <c r="G16" s="92" t="s">
        <v>121</v>
      </c>
      <c r="H16" s="92" t="s">
        <v>120</v>
      </c>
      <c r="J16" s="137"/>
      <c r="K16" s="38"/>
    </row>
    <row r="17" spans="1:11" x14ac:dyDescent="0.25">
      <c r="A17" s="13">
        <v>0</v>
      </c>
      <c r="B17" s="132">
        <v>-15416368029.6</v>
      </c>
      <c r="C17" s="123">
        <f>B17</f>
        <v>-15416368029.6</v>
      </c>
      <c r="F17" s="13">
        <v>0</v>
      </c>
      <c r="G17" s="132">
        <v>-15416368029.6</v>
      </c>
      <c r="H17" s="123">
        <f>G17</f>
        <v>-15416368029.6</v>
      </c>
      <c r="J17" s="124"/>
      <c r="K17" s="38"/>
    </row>
    <row r="18" spans="1:11" x14ac:dyDescent="0.25">
      <c r="A18" s="13">
        <v>1</v>
      </c>
      <c r="B18" s="132">
        <v>164520808045.20001</v>
      </c>
      <c r="C18" s="123">
        <f>B18/(1+$B$15)^1</f>
        <v>14257186883.764462</v>
      </c>
      <c r="F18" s="13">
        <v>1</v>
      </c>
      <c r="G18" s="132">
        <v>164520808045.20001</v>
      </c>
      <c r="H18" s="123">
        <f>G18/(1+$G$15)^1</f>
        <v>14244719128.385401</v>
      </c>
    </row>
    <row r="19" spans="1:11" x14ac:dyDescent="0.25">
      <c r="A19" s="13">
        <v>2</v>
      </c>
      <c r="B19" s="132">
        <v>141963393670.20001</v>
      </c>
      <c r="C19" s="123">
        <f>B19/(1+$B$15)^2</f>
        <v>1066110914.9670875</v>
      </c>
      <c r="F19" s="13">
        <v>2</v>
      </c>
      <c r="G19" s="132">
        <v>141963393670.20001</v>
      </c>
      <c r="H19" s="123">
        <f>G19/(1+$G$15)^2</f>
        <v>1064247125.3789021</v>
      </c>
    </row>
    <row r="20" spans="1:11" x14ac:dyDescent="0.25">
      <c r="A20" s="13">
        <v>3</v>
      </c>
      <c r="B20" s="132">
        <v>135733813045.20001</v>
      </c>
      <c r="C20" s="123">
        <f>B20/(1+$B$15)^3</f>
        <v>88333832.832722887</v>
      </c>
      <c r="F20" s="13">
        <v>3</v>
      </c>
      <c r="G20" s="132">
        <v>135733813045.20001</v>
      </c>
      <c r="H20" s="123">
        <f>G20/(1+$G$15)^3</f>
        <v>88102294.490820885</v>
      </c>
    </row>
    <row r="21" spans="1:11" x14ac:dyDescent="0.25">
      <c r="A21" s="13">
        <v>4</v>
      </c>
      <c r="B21" s="132">
        <v>76263168670.200012</v>
      </c>
      <c r="C21" s="123">
        <f>B21/(1+$B$15)^4</f>
        <v>4300974.6211129492</v>
      </c>
      <c r="F21" s="13">
        <v>4</v>
      </c>
      <c r="G21" s="132">
        <v>76263168670.200012</v>
      </c>
      <c r="H21" s="123">
        <f>G21/(1+$G$15)^4</f>
        <v>4285949.7214186955</v>
      </c>
    </row>
    <row r="22" spans="1:11" x14ac:dyDescent="0.25">
      <c r="A22" s="13">
        <v>5</v>
      </c>
      <c r="B22" s="132">
        <v>107260507420.20001</v>
      </c>
      <c r="C22" s="123">
        <f>B22/(1+$B$15)^5</f>
        <v>524209.50301612954</v>
      </c>
      <c r="F22" s="13">
        <v>5</v>
      </c>
      <c r="G22" s="132">
        <v>107260507420.20001</v>
      </c>
      <c r="H22" s="123">
        <f>G22/(1+$G$15)^5</f>
        <v>521921.43066686037</v>
      </c>
    </row>
    <row r="23" spans="1:11" x14ac:dyDescent="0.25">
      <c r="A23" s="13" t="s">
        <v>124</v>
      </c>
      <c r="B23" s="122"/>
      <c r="C23" s="125">
        <f>SUM(C17:C22)</f>
        <v>88786.088400609267</v>
      </c>
      <c r="F23" s="13" t="s">
        <v>124</v>
      </c>
      <c r="G23" s="122"/>
      <c r="H23" s="125">
        <f>SUM(H17:H22)</f>
        <v>-14491610.192791091</v>
      </c>
    </row>
    <row r="27" spans="1:11" x14ac:dyDescent="0.25">
      <c r="B27" t="s">
        <v>128</v>
      </c>
      <c r="G27" t="s">
        <v>128</v>
      </c>
    </row>
    <row r="28" spans="1:11" x14ac:dyDescent="0.25">
      <c r="A28" t="s">
        <v>123</v>
      </c>
      <c r="B28" s="143">
        <v>4.5837000000000003</v>
      </c>
      <c r="F28" t="s">
        <v>123</v>
      </c>
      <c r="G28" s="143">
        <v>4.5838000000000001</v>
      </c>
    </row>
    <row r="29" spans="1:11" x14ac:dyDescent="0.25">
      <c r="A29" s="70" t="s">
        <v>122</v>
      </c>
      <c r="B29" s="92" t="s">
        <v>121</v>
      </c>
      <c r="C29" s="92" t="s">
        <v>120</v>
      </c>
      <c r="F29" s="70" t="s">
        <v>122</v>
      </c>
      <c r="G29" s="92" t="s">
        <v>121</v>
      </c>
      <c r="H29" s="92" t="s">
        <v>120</v>
      </c>
    </row>
    <row r="30" spans="1:11" x14ac:dyDescent="0.25">
      <c r="A30" s="13">
        <v>0</v>
      </c>
      <c r="B30" s="132">
        <v>-34132176000</v>
      </c>
      <c r="C30" s="123">
        <f>B30</f>
        <v>-34132176000</v>
      </c>
      <c r="F30" s="13">
        <v>0</v>
      </c>
      <c r="G30" s="138">
        <v>-34132176000</v>
      </c>
      <c r="H30" s="123">
        <f>G30</f>
        <v>-34132176000</v>
      </c>
    </row>
    <row r="31" spans="1:11" x14ac:dyDescent="0.25">
      <c r="A31" s="13">
        <v>1</v>
      </c>
      <c r="B31" s="132">
        <v>161021339550</v>
      </c>
      <c r="C31" s="123">
        <f>B31/(1+$B$28)^1</f>
        <v>28837749082.149826</v>
      </c>
      <c r="F31" s="13">
        <v>1</v>
      </c>
      <c r="G31" s="138">
        <v>161021339550</v>
      </c>
      <c r="H31" s="123">
        <f>G31/(1+$G$28)^1</f>
        <v>28837232628.317631</v>
      </c>
    </row>
    <row r="32" spans="1:11" x14ac:dyDescent="0.25">
      <c r="A32" s="13">
        <v>2</v>
      </c>
      <c r="B32" s="132">
        <v>138463925175</v>
      </c>
      <c r="C32" s="123">
        <f>B32/(1+$B$28)^2</f>
        <v>4441119771.6646347</v>
      </c>
      <c r="F32" s="13">
        <v>2</v>
      </c>
      <c r="G32" s="138">
        <v>138463925175</v>
      </c>
      <c r="H32" s="123">
        <f>G32/(1+$G$28)^2</f>
        <v>4440960701.4972305</v>
      </c>
    </row>
    <row r="33" spans="1:8" x14ac:dyDescent="0.25">
      <c r="A33" s="13">
        <v>3</v>
      </c>
      <c r="B33" s="132">
        <v>132234344550</v>
      </c>
      <c r="C33" s="123">
        <f>B33/(1+$B$28)^3</f>
        <v>759587898.76906836</v>
      </c>
      <c r="F33" s="13">
        <v>3</v>
      </c>
      <c r="G33" s="138">
        <v>132234344550</v>
      </c>
      <c r="H33" s="123">
        <f>G33/(1+$G$28)^3</f>
        <v>759547089.23279774</v>
      </c>
    </row>
    <row r="34" spans="1:8" x14ac:dyDescent="0.25">
      <c r="A34" s="13">
        <v>4</v>
      </c>
      <c r="B34" s="132">
        <v>72763700175</v>
      </c>
      <c r="C34" s="123">
        <f>B34/(1+$B$28)^4</f>
        <v>74855974.663736403</v>
      </c>
      <c r="F34" s="13">
        <v>4</v>
      </c>
      <c r="G34" s="138">
        <v>72763700175</v>
      </c>
      <c r="H34" s="123">
        <f>G34/(1+$G$28)^4</f>
        <v>74850612.439888865</v>
      </c>
    </row>
    <row r="35" spans="1:8" x14ac:dyDescent="0.25">
      <c r="A35" s="13">
        <v>5</v>
      </c>
      <c r="B35" s="132">
        <v>103761038925</v>
      </c>
      <c r="C35" s="123">
        <f>B35/(1+$B$28)^5</f>
        <v>19117184.379017159</v>
      </c>
      <c r="F35" s="13">
        <v>5</v>
      </c>
      <c r="G35" s="138">
        <v>103761038925</v>
      </c>
      <c r="H35" s="123">
        <f>G35/(1+$G$28)^5</f>
        <v>19115472.596749365</v>
      </c>
    </row>
    <row r="36" spans="1:8" x14ac:dyDescent="0.25">
      <c r="A36" s="13" t="s">
        <v>124</v>
      </c>
      <c r="B36" s="122"/>
      <c r="C36" s="125">
        <f>SUM(C30:C35)</f>
        <v>253911.62628267705</v>
      </c>
      <c r="F36" s="13" t="s">
        <v>124</v>
      </c>
      <c r="G36" s="122"/>
      <c r="H36" s="125">
        <f>SUM(H30:H35)</f>
        <v>-469495.91570273042</v>
      </c>
    </row>
    <row r="39" spans="1:8" x14ac:dyDescent="0.25">
      <c r="B39" t="s">
        <v>127</v>
      </c>
      <c r="G39" t="s">
        <v>127</v>
      </c>
    </row>
    <row r="40" spans="1:8" x14ac:dyDescent="0.25">
      <c r="A40" t="s">
        <v>123</v>
      </c>
      <c r="B40" s="143">
        <v>3.6640999999999999</v>
      </c>
      <c r="F40" t="s">
        <v>123</v>
      </c>
      <c r="G40" s="143">
        <v>3.6642000000000001</v>
      </c>
    </row>
    <row r="41" spans="1:8" x14ac:dyDescent="0.25">
      <c r="A41" s="70" t="s">
        <v>122</v>
      </c>
      <c r="B41" s="92" t="s">
        <v>121</v>
      </c>
      <c r="C41" s="92" t="s">
        <v>120</v>
      </c>
      <c r="F41" s="70" t="s">
        <v>122</v>
      </c>
      <c r="G41" s="92" t="s">
        <v>121</v>
      </c>
      <c r="H41" s="92" t="s">
        <v>120</v>
      </c>
    </row>
    <row r="42" spans="1:8" x14ac:dyDescent="0.25">
      <c r="A42" s="13">
        <v>0</v>
      </c>
      <c r="B42" s="138">
        <v>-43622452500</v>
      </c>
      <c r="C42" s="123">
        <f>B42</f>
        <v>-43622452500</v>
      </c>
      <c r="F42" s="13">
        <v>0</v>
      </c>
      <c r="G42" s="138">
        <v>-43622452500</v>
      </c>
      <c r="H42" s="123">
        <f>G42</f>
        <v>-43622452500</v>
      </c>
    </row>
    <row r="43" spans="1:8" x14ac:dyDescent="0.25">
      <c r="A43" s="13">
        <v>1</v>
      </c>
      <c r="B43" s="138">
        <v>165529904625</v>
      </c>
      <c r="C43" s="123">
        <f>B43/(1+$B$40)^1</f>
        <v>35490213465.620384</v>
      </c>
      <c r="F43" s="13">
        <v>1</v>
      </c>
      <c r="G43" s="138">
        <v>165529904625</v>
      </c>
      <c r="H43" s="123">
        <f>G43/(1+$G$40)^1</f>
        <v>35489452558.852539</v>
      </c>
    </row>
    <row r="44" spans="1:8" x14ac:dyDescent="0.25">
      <c r="A44" s="13">
        <v>2</v>
      </c>
      <c r="B44" s="138">
        <v>142972490250</v>
      </c>
      <c r="C44" s="123">
        <f>B44/(1+$B$40)^2</f>
        <v>6572290859.6337366</v>
      </c>
      <c r="F44" s="13">
        <v>2</v>
      </c>
      <c r="G44" s="138">
        <v>142972490250</v>
      </c>
      <c r="H44" s="123">
        <f>G44/(1+$G$40)^2</f>
        <v>6572009044.0853014</v>
      </c>
    </row>
    <row r="45" spans="1:8" x14ac:dyDescent="0.25">
      <c r="A45" s="13">
        <v>3</v>
      </c>
      <c r="B45" s="138">
        <v>136742909625</v>
      </c>
      <c r="C45" s="123">
        <f>B45/(1+$B$40)^3</f>
        <v>1347724913.8967986</v>
      </c>
      <c r="F45" s="13">
        <v>3</v>
      </c>
      <c r="G45" s="138">
        <v>136742909625</v>
      </c>
      <c r="H45" s="123">
        <f>G45/(1+$G$40)^3</f>
        <v>1347638230.4771969</v>
      </c>
    </row>
    <row r="46" spans="1:8" x14ac:dyDescent="0.25">
      <c r="A46" s="13">
        <v>4</v>
      </c>
      <c r="B46" s="138">
        <v>77272265250</v>
      </c>
      <c r="C46" s="123">
        <f>B46/(1+$B$40)^4</f>
        <v>163287233.37675473</v>
      </c>
      <c r="F46" s="13">
        <v>4</v>
      </c>
      <c r="G46" s="138">
        <v>77272265250</v>
      </c>
      <c r="H46" s="123">
        <f>G46/(1+$G$40)^4</f>
        <v>163273230.3766982</v>
      </c>
    </row>
    <row r="47" spans="1:8" x14ac:dyDescent="0.25">
      <c r="A47" s="13">
        <v>5</v>
      </c>
      <c r="B47" s="138">
        <v>108269604000</v>
      </c>
      <c r="C47" s="123">
        <f>B47/(1+$B$40)^5</f>
        <v>49053192.99187845</v>
      </c>
      <c r="F47" s="13">
        <v>5</v>
      </c>
      <c r="G47" s="138">
        <v>108269604000</v>
      </c>
      <c r="H47" s="123">
        <f>G47/(1+$G$40)^5</f>
        <v>49047934.738625385</v>
      </c>
    </row>
    <row r="48" spans="1:8" x14ac:dyDescent="0.25">
      <c r="A48" s="13" t="s">
        <v>124</v>
      </c>
      <c r="B48" s="122"/>
      <c r="C48" s="125">
        <f>SUM(C42:C47)</f>
        <v>117165.51955261827</v>
      </c>
      <c r="F48" s="13" t="s">
        <v>124</v>
      </c>
      <c r="G48" s="122"/>
      <c r="H48" s="125">
        <f>SUM(H42:H47)</f>
        <v>-1031501.4696390256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63"/>
  <sheetViews>
    <sheetView topLeftCell="A29" zoomScale="70" zoomScaleNormal="70" workbookViewId="0">
      <selection activeCell="A64" sqref="A64"/>
    </sheetView>
  </sheetViews>
  <sheetFormatPr defaultRowHeight="15" x14ac:dyDescent="0.25"/>
  <cols>
    <col min="1" max="1" width="47.42578125" customWidth="1"/>
    <col min="2" max="2" width="28.140625" customWidth="1"/>
    <col min="3" max="3" width="11.5703125" customWidth="1"/>
    <col min="4" max="4" width="28.140625" customWidth="1"/>
    <col min="5" max="5" width="27.42578125" customWidth="1"/>
    <col min="6" max="6" width="23.5703125" customWidth="1"/>
    <col min="7" max="7" width="27.7109375" customWidth="1"/>
    <col min="8" max="8" width="27.5703125" customWidth="1"/>
    <col min="9" max="9" width="27.7109375" customWidth="1"/>
    <col min="10" max="11" width="27.5703125" customWidth="1"/>
    <col min="12" max="12" width="26.85546875" customWidth="1"/>
    <col min="13" max="13" width="27.140625" customWidth="1"/>
    <col min="14" max="14" width="28.140625" customWidth="1"/>
    <col min="15" max="15" width="27.28515625" customWidth="1"/>
    <col min="16" max="16" width="27.5703125" customWidth="1"/>
  </cols>
  <sheetData>
    <row r="3" spans="1:19" x14ac:dyDescent="0.25">
      <c r="B3" s="154" t="s">
        <v>23</v>
      </c>
      <c r="C3" s="154"/>
      <c r="D3" s="154"/>
      <c r="E3" s="154"/>
    </row>
    <row r="4" spans="1:19" x14ac:dyDescent="0.25">
      <c r="A4" s="69" t="s">
        <v>68</v>
      </c>
      <c r="B4" s="69"/>
      <c r="C4" s="70" t="s">
        <v>69</v>
      </c>
      <c r="D4" s="70" t="s">
        <v>93</v>
      </c>
      <c r="E4" s="70" t="s">
        <v>94</v>
      </c>
      <c r="F4" s="70" t="s">
        <v>95</v>
      </c>
      <c r="G4" s="70" t="s">
        <v>96</v>
      </c>
      <c r="H4" s="70" t="s">
        <v>97</v>
      </c>
      <c r="I4" s="70" t="s">
        <v>98</v>
      </c>
      <c r="J4" s="70" t="s">
        <v>99</v>
      </c>
      <c r="K4" s="70" t="s">
        <v>100</v>
      </c>
      <c r="L4" s="70" t="s">
        <v>101</v>
      </c>
      <c r="M4" s="70" t="s">
        <v>102</v>
      </c>
      <c r="N4" s="70" t="s">
        <v>103</v>
      </c>
      <c r="O4" s="70" t="s">
        <v>104</v>
      </c>
      <c r="P4" s="70" t="s">
        <v>105</v>
      </c>
    </row>
    <row r="5" spans="1:19" x14ac:dyDescent="0.25">
      <c r="A5" s="71" t="s">
        <v>84</v>
      </c>
      <c r="B5" s="40"/>
      <c r="C5" s="41" t="s">
        <v>70</v>
      </c>
      <c r="D5" s="42"/>
      <c r="E5" s="43">
        <v>88532</v>
      </c>
      <c r="F5" s="43">
        <v>88890</v>
      </c>
      <c r="G5" s="43">
        <v>83460</v>
      </c>
      <c r="H5" s="43">
        <v>84011</v>
      </c>
      <c r="I5" s="43">
        <v>91089</v>
      </c>
      <c r="J5" s="43">
        <v>96071</v>
      </c>
      <c r="K5" s="43">
        <v>83403</v>
      </c>
      <c r="L5" s="43">
        <v>85400</v>
      </c>
      <c r="M5" s="43">
        <v>78448</v>
      </c>
      <c r="N5" s="43">
        <v>81063</v>
      </c>
      <c r="O5" s="43">
        <v>78529</v>
      </c>
      <c r="P5" s="43">
        <v>87036</v>
      </c>
    </row>
    <row r="6" spans="1:19" x14ac:dyDescent="0.25">
      <c r="A6" s="53" t="s">
        <v>74</v>
      </c>
      <c r="B6" s="40"/>
      <c r="C6" s="21" t="s">
        <v>71</v>
      </c>
      <c r="D6" s="44"/>
      <c r="E6" s="43">
        <v>1748366.1454166663</v>
      </c>
      <c r="F6" s="43">
        <v>1748366.1454166663</v>
      </c>
      <c r="G6" s="43">
        <v>1748366.1454166663</v>
      </c>
      <c r="H6" s="43">
        <v>1748366.1454166663</v>
      </c>
      <c r="I6" s="43">
        <v>1748366.1454166663</v>
      </c>
      <c r="J6" s="43">
        <v>1748366.1454166663</v>
      </c>
      <c r="K6" s="43">
        <v>1748366.1454166663</v>
      </c>
      <c r="L6" s="43">
        <v>1748366.1454166663</v>
      </c>
      <c r="M6" s="43">
        <v>1748366.1454166663</v>
      </c>
      <c r="N6" s="43">
        <v>1748366.1454166663</v>
      </c>
      <c r="O6" s="43">
        <v>1748366.1454166663</v>
      </c>
      <c r="P6" s="43">
        <v>1748366.1454166663</v>
      </c>
      <c r="Q6">
        <v>159.97</v>
      </c>
      <c r="R6">
        <v>14393.3</v>
      </c>
      <c r="S6">
        <f>Q6*R6</f>
        <v>2302496.2009999999</v>
      </c>
    </row>
    <row r="7" spans="1:19" x14ac:dyDescent="0.25">
      <c r="A7" s="47"/>
      <c r="B7" s="44"/>
      <c r="C7" s="41"/>
      <c r="D7" s="42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</row>
    <row r="8" spans="1:19" x14ac:dyDescent="0.25">
      <c r="A8" s="72" t="s">
        <v>83</v>
      </c>
      <c r="B8" s="44"/>
      <c r="C8" s="21" t="s">
        <v>1</v>
      </c>
      <c r="D8" s="73">
        <v>9250000000</v>
      </c>
      <c r="E8" s="45"/>
      <c r="F8" s="45"/>
      <c r="G8" s="45"/>
      <c r="H8" s="97"/>
      <c r="I8" s="45"/>
      <c r="J8" s="45"/>
      <c r="K8" s="45"/>
      <c r="L8" s="45"/>
      <c r="M8" s="45"/>
      <c r="N8" s="45"/>
      <c r="O8" s="45"/>
      <c r="P8" s="45"/>
    </row>
    <row r="9" spans="1:19" x14ac:dyDescent="0.25">
      <c r="A9" s="72" t="s">
        <v>82</v>
      </c>
      <c r="B9" s="44"/>
      <c r="C9" s="21" t="s">
        <v>1</v>
      </c>
      <c r="D9" s="74"/>
      <c r="E9" s="10">
        <v>1560331999.8141658</v>
      </c>
      <c r="F9" s="10">
        <v>1560331999.8141658</v>
      </c>
      <c r="G9" s="10">
        <v>1560331999.8141658</v>
      </c>
      <c r="H9" s="14">
        <v>1560331999.8141658</v>
      </c>
      <c r="I9" s="10">
        <v>1560331999.8141658</v>
      </c>
      <c r="J9" s="10">
        <v>1560331999.8141658</v>
      </c>
      <c r="K9" s="10">
        <v>1560331999.8141658</v>
      </c>
      <c r="L9" s="10">
        <v>1560331999.8141658</v>
      </c>
      <c r="M9" s="10">
        <v>1560331999.8141658</v>
      </c>
      <c r="N9" s="10">
        <v>1560331999.8141658</v>
      </c>
      <c r="O9" s="10">
        <v>1560331999.8141658</v>
      </c>
      <c r="P9" s="10">
        <v>1560331999.8141658</v>
      </c>
    </row>
    <row r="10" spans="1:19" x14ac:dyDescent="0.25">
      <c r="A10" s="72" t="s">
        <v>92</v>
      </c>
      <c r="B10" s="44"/>
      <c r="C10" s="21" t="s">
        <v>1</v>
      </c>
      <c r="D10" s="74"/>
      <c r="E10" s="87">
        <f>E14*3%</f>
        <v>4643590547.5808487</v>
      </c>
      <c r="F10" s="87">
        <f>F14*3%</f>
        <v>4662367999.9826241</v>
      </c>
      <c r="G10" s="87">
        <f>G14*3%</f>
        <v>4377559154.894249</v>
      </c>
      <c r="H10" s="87">
        <f>H14*3%</f>
        <v>4406459647.2779865</v>
      </c>
      <c r="I10" s="87">
        <f>I14*3%</f>
        <v>4777707714.5957613</v>
      </c>
      <c r="J10" s="87">
        <f t="shared" ref="J10:P10" si="0">J14*3%</f>
        <v>5039018518.6897364</v>
      </c>
      <c r="K10" s="87">
        <f t="shared" si="0"/>
        <v>4374569448.7855864</v>
      </c>
      <c r="L10" s="87">
        <f t="shared" si="0"/>
        <v>4479314064.5574989</v>
      </c>
      <c r="M10" s="87">
        <f t="shared" si="0"/>
        <v>4114674821.2693992</v>
      </c>
      <c r="N10" s="87">
        <f t="shared" si="0"/>
        <v>4251834145.3773365</v>
      </c>
      <c r="O10" s="87">
        <f t="shared" si="0"/>
        <v>4118923351.0027614</v>
      </c>
      <c r="P10" s="87">
        <f t="shared" si="0"/>
        <v>4565123874.9745483</v>
      </c>
    </row>
    <row r="11" spans="1:19" x14ac:dyDescent="0.25">
      <c r="A11" s="46" t="s">
        <v>72</v>
      </c>
      <c r="B11" s="47"/>
      <c r="C11" s="21" t="s">
        <v>1</v>
      </c>
      <c r="D11" s="75"/>
      <c r="E11" s="43">
        <v>138750000</v>
      </c>
      <c r="F11" s="43">
        <v>138750000</v>
      </c>
      <c r="G11" s="43">
        <v>138750000</v>
      </c>
      <c r="H11" s="43">
        <v>138750000</v>
      </c>
      <c r="I11" s="43">
        <v>138750000</v>
      </c>
      <c r="J11" s="43">
        <v>138750000</v>
      </c>
      <c r="K11" s="43">
        <v>138750000</v>
      </c>
      <c r="L11" s="43">
        <v>138750000</v>
      </c>
      <c r="M11" s="43">
        <v>138750000</v>
      </c>
      <c r="N11" s="43">
        <v>138750000</v>
      </c>
      <c r="O11" s="43">
        <v>138750000</v>
      </c>
      <c r="P11" s="43">
        <v>138750000</v>
      </c>
    </row>
    <row r="12" spans="1:19" x14ac:dyDescent="0.25">
      <c r="A12" s="46" t="s">
        <v>73</v>
      </c>
      <c r="B12" s="44"/>
      <c r="C12" s="21" t="s">
        <v>1</v>
      </c>
      <c r="D12" s="42"/>
      <c r="E12" s="45"/>
      <c r="F12" s="45"/>
      <c r="G12" s="45"/>
      <c r="H12" s="45"/>
      <c r="I12" s="43"/>
      <c r="J12" s="43"/>
      <c r="K12" s="43"/>
      <c r="L12" s="43"/>
      <c r="M12" s="43"/>
      <c r="N12" s="43"/>
      <c r="O12" s="43"/>
      <c r="P12" s="43">
        <v>92500000</v>
      </c>
    </row>
    <row r="13" spans="1:19" x14ac:dyDescent="0.25">
      <c r="A13" s="46"/>
      <c r="B13" s="44"/>
      <c r="C13" s="21"/>
      <c r="D13" s="42"/>
      <c r="E13" s="45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9" x14ac:dyDescent="0.25">
      <c r="A14" s="49" t="s">
        <v>75</v>
      </c>
      <c r="B14" s="47"/>
      <c r="C14" s="21" t="s">
        <v>1</v>
      </c>
      <c r="D14" s="42"/>
      <c r="E14" s="43">
        <f>E5*E6</f>
        <v>154786351586.02829</v>
      </c>
      <c r="F14" s="43">
        <f>F5*F6</f>
        <v>155412266666.08746</v>
      </c>
      <c r="G14" s="43">
        <f>G5*G6</f>
        <v>145918638496.47498</v>
      </c>
      <c r="H14" s="43">
        <f>H5*H6</f>
        <v>146881988242.59955</v>
      </c>
      <c r="I14" s="43">
        <f>I5*I6</f>
        <v>159256923819.8587</v>
      </c>
      <c r="J14" s="43">
        <f t="shared" ref="J14:P14" si="1">J5*J6</f>
        <v>167967283956.32455</v>
      </c>
      <c r="K14" s="43">
        <f t="shared" si="1"/>
        <v>145818981626.18622</v>
      </c>
      <c r="L14" s="43">
        <f t="shared" si="1"/>
        <v>149310468818.58331</v>
      </c>
      <c r="M14" s="43">
        <f t="shared" si="1"/>
        <v>137155827375.64664</v>
      </c>
      <c r="N14" s="43">
        <f t="shared" si="1"/>
        <v>141727804845.91122</v>
      </c>
      <c r="O14" s="43">
        <f t="shared" si="1"/>
        <v>137297445033.42538</v>
      </c>
      <c r="P14" s="43">
        <f t="shared" si="1"/>
        <v>152170795832.48495</v>
      </c>
    </row>
    <row r="15" spans="1:19" x14ac:dyDescent="0.25">
      <c r="A15" s="46"/>
      <c r="B15" s="47"/>
      <c r="C15" s="41"/>
      <c r="D15" s="42"/>
      <c r="E15" s="45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9" x14ac:dyDescent="0.25">
      <c r="A16" s="49" t="s">
        <v>76</v>
      </c>
      <c r="B16" s="47"/>
      <c r="C16" s="21" t="s">
        <v>1</v>
      </c>
      <c r="D16" s="42">
        <f>-D8</f>
        <v>-9250000000</v>
      </c>
      <c r="E16" s="45">
        <f>E14-(E11+E9+E10)</f>
        <v>148443679038.63327</v>
      </c>
      <c r="F16" s="45">
        <f t="shared" ref="F16:P16" si="2">F14-(F11+F9+F10)</f>
        <v>149050816666.29068</v>
      </c>
      <c r="G16" s="45">
        <f t="shared" si="2"/>
        <v>139841997341.76657</v>
      </c>
      <c r="H16" s="45">
        <f t="shared" si="2"/>
        <v>140776446595.50739</v>
      </c>
      <c r="I16" s="45">
        <f t="shared" si="2"/>
        <v>152780134105.44879</v>
      </c>
      <c r="J16" s="45">
        <f t="shared" si="2"/>
        <v>161229183437.82065</v>
      </c>
      <c r="K16" s="45">
        <f t="shared" si="2"/>
        <v>139745330177.58646</v>
      </c>
      <c r="L16" s="45">
        <f t="shared" si="2"/>
        <v>143132072754.21164</v>
      </c>
      <c r="M16" s="45">
        <f t="shared" si="2"/>
        <v>131342070554.56308</v>
      </c>
      <c r="N16" s="45">
        <f t="shared" si="2"/>
        <v>135776888700.71973</v>
      </c>
      <c r="O16" s="45">
        <f t="shared" si="2"/>
        <v>131479439682.60846</v>
      </c>
      <c r="P16" s="45">
        <f t="shared" si="2"/>
        <v>145906589957.69623</v>
      </c>
    </row>
    <row r="17" spans="1:16" x14ac:dyDescent="0.25">
      <c r="A17" s="51" t="s">
        <v>77</v>
      </c>
      <c r="B17" s="47"/>
      <c r="C17" s="41"/>
      <c r="D17" s="42"/>
      <c r="E17" s="45">
        <f>E16*30%</f>
        <v>44533103711.589981</v>
      </c>
      <c r="F17" s="45">
        <f t="shared" ref="F17:P17" si="3">F16*30%</f>
        <v>44715244999.887199</v>
      </c>
      <c r="G17" s="45">
        <f t="shared" si="3"/>
        <v>41952599202.529968</v>
      </c>
      <c r="H17" s="45">
        <f t="shared" si="3"/>
        <v>42232933978.652214</v>
      </c>
      <c r="I17" s="45">
        <f t="shared" si="3"/>
        <v>45834040231.634636</v>
      </c>
      <c r="J17" s="45">
        <f t="shared" si="3"/>
        <v>48368755031.346191</v>
      </c>
      <c r="K17" s="45">
        <f t="shared" si="3"/>
        <v>41923599053.275932</v>
      </c>
      <c r="L17" s="45">
        <f t="shared" si="3"/>
        <v>42939621826.263489</v>
      </c>
      <c r="M17" s="45">
        <f t="shared" si="3"/>
        <v>39402621166.368919</v>
      </c>
      <c r="N17" s="45">
        <f t="shared" si="3"/>
        <v>40733066610.215919</v>
      </c>
      <c r="O17" s="45">
        <f t="shared" si="3"/>
        <v>39443831904.782539</v>
      </c>
      <c r="P17" s="45">
        <f t="shared" si="3"/>
        <v>43771976987.308868</v>
      </c>
    </row>
    <row r="18" spans="1:16" x14ac:dyDescent="0.25">
      <c r="A18" s="49" t="s">
        <v>78</v>
      </c>
      <c r="B18" s="47"/>
      <c r="C18" s="41"/>
      <c r="D18" s="42">
        <f>D16</f>
        <v>-9250000000</v>
      </c>
      <c r="E18" s="45">
        <f>E16-E17</f>
        <v>103910575327.04329</v>
      </c>
      <c r="F18" s="45">
        <f t="shared" ref="F18:P18" si="4">F16-F17</f>
        <v>104335571666.40347</v>
      </c>
      <c r="G18" s="45">
        <f t="shared" si="4"/>
        <v>97889398139.236603</v>
      </c>
      <c r="H18" s="45">
        <f t="shared" si="4"/>
        <v>98543512616.855164</v>
      </c>
      <c r="I18" s="45">
        <f t="shared" si="4"/>
        <v>106946093873.81415</v>
      </c>
      <c r="J18" s="45">
        <f t="shared" si="4"/>
        <v>112860428406.47446</v>
      </c>
      <c r="K18" s="45">
        <f t="shared" si="4"/>
        <v>97821731124.310516</v>
      </c>
      <c r="L18" s="45">
        <f t="shared" si="4"/>
        <v>100192450927.94815</v>
      </c>
      <c r="M18" s="45">
        <f t="shared" si="4"/>
        <v>91939449388.194153</v>
      </c>
      <c r="N18" s="45">
        <f t="shared" si="4"/>
        <v>95043822090.503815</v>
      </c>
      <c r="O18" s="45">
        <f t="shared" si="4"/>
        <v>92035607777.825928</v>
      </c>
      <c r="P18" s="45">
        <f t="shared" si="4"/>
        <v>102134612970.38736</v>
      </c>
    </row>
    <row r="19" spans="1:16" x14ac:dyDescent="0.25">
      <c r="A19" s="46"/>
      <c r="B19" s="47"/>
      <c r="C19" s="41"/>
      <c r="D19" s="42"/>
      <c r="E19" s="45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x14ac:dyDescent="0.25">
      <c r="A20" s="72" t="s">
        <v>91</v>
      </c>
      <c r="B20" s="47"/>
      <c r="C20" s="41"/>
      <c r="D20" s="42">
        <f>D18</f>
        <v>-9250000000</v>
      </c>
      <c r="E20" s="45">
        <f t="shared" ref="E20:P20" si="5">D20+E18</f>
        <v>94660575327.043289</v>
      </c>
      <c r="F20" s="45">
        <f t="shared" si="5"/>
        <v>198996146993.44678</v>
      </c>
      <c r="G20" s="45">
        <f t="shared" si="5"/>
        <v>296885545132.68335</v>
      </c>
      <c r="H20" s="45">
        <f t="shared" si="5"/>
        <v>395429057749.53851</v>
      </c>
      <c r="I20" s="45">
        <f t="shared" si="5"/>
        <v>502375151623.35266</v>
      </c>
      <c r="J20" s="45">
        <f t="shared" si="5"/>
        <v>615235580029.82715</v>
      </c>
      <c r="K20" s="45">
        <f t="shared" si="5"/>
        <v>713057311154.1377</v>
      </c>
      <c r="L20" s="45">
        <f t="shared" si="5"/>
        <v>813249762082.08582</v>
      </c>
      <c r="M20" s="45">
        <f t="shared" si="5"/>
        <v>905189211470.28003</v>
      </c>
      <c r="N20" s="45">
        <f t="shared" si="5"/>
        <v>1000233033560.7838</v>
      </c>
      <c r="O20" s="45">
        <f t="shared" si="5"/>
        <v>1092268641338.6097</v>
      </c>
      <c r="P20" s="45">
        <f t="shared" si="5"/>
        <v>1194403254308.9971</v>
      </c>
    </row>
    <row r="21" spans="1:16" x14ac:dyDescent="0.25">
      <c r="A21" s="48"/>
      <c r="B21" s="49"/>
      <c r="C21" s="50"/>
      <c r="D21" s="51"/>
      <c r="E21" s="52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5" spans="1:16" x14ac:dyDescent="0.25">
      <c r="A25" s="54"/>
      <c r="B25" s="54"/>
      <c r="C25" s="55"/>
      <c r="D25" s="54"/>
      <c r="E25" s="56"/>
      <c r="F25" s="54"/>
      <c r="G25" s="54"/>
      <c r="H25" s="54"/>
    </row>
    <row r="26" spans="1:16" x14ac:dyDescent="0.25">
      <c r="A26" s="54"/>
      <c r="B26" s="54"/>
      <c r="C26" s="55"/>
      <c r="D26" s="54"/>
      <c r="E26" s="57"/>
      <c r="F26" s="57"/>
      <c r="G26" s="57"/>
      <c r="H26" s="57"/>
    </row>
    <row r="27" spans="1:16" x14ac:dyDescent="0.25">
      <c r="A27" s="58" t="s">
        <v>79</v>
      </c>
      <c r="B27" s="59">
        <v>0.1</v>
      </c>
      <c r="C27" s="60"/>
      <c r="D27" s="54"/>
      <c r="E27" s="61"/>
      <c r="F27" s="54"/>
      <c r="G27" s="54"/>
      <c r="H27" s="56"/>
      <c r="J27" s="14">
        <v>1624886.73</v>
      </c>
      <c r="K27" s="77">
        <f>J27*R6</f>
        <v>23387482170.909</v>
      </c>
    </row>
    <row r="28" spans="1:16" x14ac:dyDescent="0.25">
      <c r="A28" s="58" t="s">
        <v>80</v>
      </c>
      <c r="B28" s="62">
        <f>NPV(B27,D18,E18,F18,G18,H18,I18:P18)</f>
        <v>617982345339.26367</v>
      </c>
      <c r="C28" s="63"/>
      <c r="D28" s="64"/>
      <c r="E28" s="65"/>
      <c r="F28" s="56"/>
      <c r="G28" s="54"/>
      <c r="H28" s="54"/>
    </row>
    <row r="29" spans="1:16" x14ac:dyDescent="0.25">
      <c r="A29" s="78" t="s">
        <v>81</v>
      </c>
      <c r="B29" s="79">
        <f>IRR(D18:P18,B27)</f>
        <v>11.232755649232937</v>
      </c>
      <c r="C29" s="80"/>
      <c r="D29" s="66"/>
      <c r="E29" s="67"/>
      <c r="F29" s="57"/>
      <c r="G29" s="57"/>
      <c r="H29" s="57"/>
    </row>
    <row r="30" spans="1:16" x14ac:dyDescent="0.25">
      <c r="A30" s="84"/>
      <c r="B30" s="85"/>
      <c r="C30" s="86"/>
      <c r="D30" s="68"/>
      <c r="E30" s="54"/>
      <c r="F30" s="54"/>
      <c r="G30" s="54"/>
      <c r="H30" s="54"/>
    </row>
    <row r="31" spans="1:16" x14ac:dyDescent="0.25">
      <c r="A31" s="81"/>
      <c r="B31" s="82"/>
      <c r="C31" s="83"/>
      <c r="D31" s="54"/>
      <c r="E31" s="54"/>
      <c r="F31" s="54"/>
      <c r="G31" s="54"/>
      <c r="H31" s="54"/>
    </row>
    <row r="35" spans="1:16" x14ac:dyDescent="0.25">
      <c r="B35" s="154" t="s">
        <v>23</v>
      </c>
      <c r="C35" s="154"/>
      <c r="D35" s="154"/>
      <c r="E35" s="154"/>
    </row>
    <row r="36" spans="1:16" x14ac:dyDescent="0.25">
      <c r="A36" s="69" t="s">
        <v>68</v>
      </c>
      <c r="B36" s="69"/>
      <c r="C36" s="70" t="s">
        <v>69</v>
      </c>
      <c r="D36" s="70" t="s">
        <v>93</v>
      </c>
      <c r="E36" s="70" t="s">
        <v>94</v>
      </c>
      <c r="F36" s="70" t="s">
        <v>95</v>
      </c>
      <c r="G36" s="70" t="s">
        <v>96</v>
      </c>
      <c r="H36" s="70" t="s">
        <v>97</v>
      </c>
      <c r="I36" s="70" t="s">
        <v>98</v>
      </c>
      <c r="J36" s="70" t="s">
        <v>99</v>
      </c>
      <c r="K36" s="70" t="s">
        <v>100</v>
      </c>
      <c r="L36" s="70" t="s">
        <v>101</v>
      </c>
      <c r="M36" s="70" t="s">
        <v>102</v>
      </c>
      <c r="N36" s="70" t="s">
        <v>103</v>
      </c>
      <c r="O36" s="70" t="s">
        <v>104</v>
      </c>
      <c r="P36" s="70" t="s">
        <v>105</v>
      </c>
    </row>
    <row r="37" spans="1:16" x14ac:dyDescent="0.25">
      <c r="A37" s="71" t="s">
        <v>84</v>
      </c>
      <c r="B37" s="40"/>
      <c r="C37" s="41" t="s">
        <v>70</v>
      </c>
      <c r="D37" s="42"/>
      <c r="E37" s="43">
        <v>88532</v>
      </c>
      <c r="F37" s="43">
        <v>88890</v>
      </c>
      <c r="G37" s="43">
        <v>83460</v>
      </c>
      <c r="H37" s="43">
        <v>84011</v>
      </c>
      <c r="I37" s="43">
        <v>91089</v>
      </c>
      <c r="J37" s="43">
        <v>96071</v>
      </c>
      <c r="K37" s="43">
        <v>83403</v>
      </c>
      <c r="L37" s="43">
        <v>85400</v>
      </c>
      <c r="M37" s="43">
        <v>78448</v>
      </c>
      <c r="N37" s="43">
        <v>81063</v>
      </c>
      <c r="O37" s="43">
        <v>78529</v>
      </c>
      <c r="P37" s="43">
        <v>87036</v>
      </c>
    </row>
    <row r="38" spans="1:16" x14ac:dyDescent="0.25">
      <c r="A38" s="53" t="s">
        <v>74</v>
      </c>
      <c r="B38" s="40"/>
      <c r="C38" s="21" t="s">
        <v>71</v>
      </c>
      <c r="D38" s="44"/>
      <c r="E38" s="43">
        <v>1748366.1454166663</v>
      </c>
      <c r="F38" s="43">
        <v>1748366.1454166663</v>
      </c>
      <c r="G38" s="43">
        <v>1748366.1454166663</v>
      </c>
      <c r="H38" s="43">
        <v>1748366.1454166663</v>
      </c>
      <c r="I38" s="43">
        <v>1748366.1454166663</v>
      </c>
      <c r="J38" s="43">
        <v>1748366.1454166663</v>
      </c>
      <c r="K38" s="43">
        <v>1748366.1454166663</v>
      </c>
      <c r="L38" s="43">
        <v>1748366.1454166663</v>
      </c>
      <c r="M38" s="43">
        <v>1748366.1454166663</v>
      </c>
      <c r="N38" s="43">
        <v>1748366.1454166663</v>
      </c>
      <c r="O38" s="43">
        <v>1748366.1454166663</v>
      </c>
      <c r="P38" s="43">
        <v>1748366.1454166663</v>
      </c>
    </row>
    <row r="39" spans="1:16" x14ac:dyDescent="0.25">
      <c r="A39" s="47"/>
      <c r="B39" s="44"/>
      <c r="C39" s="41"/>
      <c r="D39" s="42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</row>
    <row r="40" spans="1:16" x14ac:dyDescent="0.25">
      <c r="A40" s="72" t="s">
        <v>83</v>
      </c>
      <c r="B40" s="44"/>
      <c r="C40" s="21" t="s">
        <v>1</v>
      </c>
      <c r="D40" s="73">
        <v>3456584760</v>
      </c>
      <c r="E40" s="45"/>
      <c r="F40" s="45"/>
      <c r="G40" s="45"/>
      <c r="H40" s="97"/>
      <c r="I40" s="45"/>
      <c r="J40" s="45"/>
      <c r="K40" s="45"/>
      <c r="L40" s="45"/>
      <c r="M40" s="45"/>
      <c r="N40" s="45"/>
      <c r="O40" s="45"/>
      <c r="P40" s="45"/>
    </row>
    <row r="41" spans="1:16" x14ac:dyDescent="0.25">
      <c r="A41" s="72" t="s">
        <v>82</v>
      </c>
      <c r="B41" s="44"/>
      <c r="C41" s="21" t="s">
        <v>1</v>
      </c>
      <c r="D41" s="74"/>
      <c r="E41" s="10">
        <v>430183459.19999999</v>
      </c>
      <c r="F41" s="10">
        <v>430183459.19999999</v>
      </c>
      <c r="G41" s="10">
        <v>430183459.19999999</v>
      </c>
      <c r="H41" s="10">
        <v>430183459.19999999</v>
      </c>
      <c r="I41" s="10">
        <v>430183459.19999999</v>
      </c>
      <c r="J41" s="10">
        <v>430183459.19999999</v>
      </c>
      <c r="K41" s="10">
        <v>430183459.19999999</v>
      </c>
      <c r="L41" s="10">
        <v>430183459.19999999</v>
      </c>
      <c r="M41" s="10">
        <v>430183459.19999999</v>
      </c>
      <c r="N41" s="10">
        <v>430183459.19999999</v>
      </c>
      <c r="O41" s="10">
        <v>430183459.19999999</v>
      </c>
      <c r="P41" s="10">
        <v>430183459.19999999</v>
      </c>
    </row>
    <row r="42" spans="1:16" x14ac:dyDescent="0.25">
      <c r="A42" s="72" t="s">
        <v>92</v>
      </c>
      <c r="B42" s="44"/>
      <c r="C42" s="21" t="s">
        <v>1</v>
      </c>
      <c r="D42" s="74"/>
      <c r="E42" s="87">
        <f>E46*3%</f>
        <v>4643590547.5808487</v>
      </c>
      <c r="F42" s="87">
        <f t="shared" ref="F42:P42" si="6">F46*3%</f>
        <v>4662367999.9826241</v>
      </c>
      <c r="G42" s="87">
        <f t="shared" si="6"/>
        <v>4377559154.894249</v>
      </c>
      <c r="H42" s="87">
        <f t="shared" si="6"/>
        <v>4406459647.2779865</v>
      </c>
      <c r="I42" s="87">
        <f t="shared" si="6"/>
        <v>4777707714.5957613</v>
      </c>
      <c r="J42" s="87">
        <f t="shared" si="6"/>
        <v>5039018518.6897364</v>
      </c>
      <c r="K42" s="87">
        <f t="shared" si="6"/>
        <v>4374569448.7855864</v>
      </c>
      <c r="L42" s="87">
        <f t="shared" si="6"/>
        <v>4479314064.5574989</v>
      </c>
      <c r="M42" s="87">
        <f t="shared" si="6"/>
        <v>4114674821.2693992</v>
      </c>
      <c r="N42" s="87">
        <f t="shared" si="6"/>
        <v>4251834145.3773365</v>
      </c>
      <c r="O42" s="87">
        <f t="shared" si="6"/>
        <v>4118923351.0027614</v>
      </c>
      <c r="P42" s="87">
        <f t="shared" si="6"/>
        <v>4565123874.9745483</v>
      </c>
    </row>
    <row r="43" spans="1:16" x14ac:dyDescent="0.25">
      <c r="A43" s="46" t="s">
        <v>72</v>
      </c>
      <c r="B43" s="47"/>
      <c r="C43" s="21" t="s">
        <v>1</v>
      </c>
      <c r="D43" s="75"/>
      <c r="E43" s="43">
        <v>51848771.399999999</v>
      </c>
      <c r="F43" s="43">
        <v>51848771.399999999</v>
      </c>
      <c r="G43" s="43">
        <v>51848771.399999999</v>
      </c>
      <c r="H43" s="43">
        <v>51848771.399999999</v>
      </c>
      <c r="I43" s="43">
        <v>51848771.399999999</v>
      </c>
      <c r="J43" s="43">
        <v>51848771.399999999</v>
      </c>
      <c r="K43" s="43">
        <v>51848771.399999999</v>
      </c>
      <c r="L43" s="43">
        <v>51848771.399999999</v>
      </c>
      <c r="M43" s="43">
        <v>51848771.399999999</v>
      </c>
      <c r="N43" s="43">
        <v>51848771.399999999</v>
      </c>
      <c r="O43" s="43">
        <v>51848771.399999999</v>
      </c>
      <c r="P43" s="43">
        <v>51848771.399999999</v>
      </c>
    </row>
    <row r="44" spans="1:16" x14ac:dyDescent="0.25">
      <c r="A44" s="46" t="s">
        <v>73</v>
      </c>
      <c r="B44" s="44"/>
      <c r="C44" s="21" t="s">
        <v>1</v>
      </c>
      <c r="D44" s="42"/>
      <c r="E44" s="45"/>
      <c r="F44" s="45"/>
      <c r="G44" s="45"/>
      <c r="H44" s="45"/>
      <c r="I44" s="43"/>
      <c r="J44" s="43"/>
      <c r="K44" s="43"/>
      <c r="L44" s="43"/>
      <c r="M44" s="43"/>
      <c r="N44" s="43"/>
      <c r="O44" s="43"/>
      <c r="P44" s="43">
        <v>92500000</v>
      </c>
    </row>
    <row r="45" spans="1:16" x14ac:dyDescent="0.25">
      <c r="A45" s="46"/>
      <c r="B45" s="44"/>
      <c r="C45" s="21"/>
      <c r="D45" s="42"/>
      <c r="E45" s="45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x14ac:dyDescent="0.25">
      <c r="A46" s="49" t="s">
        <v>75</v>
      </c>
      <c r="B46" s="47"/>
      <c r="C46" s="21" t="s">
        <v>1</v>
      </c>
      <c r="D46" s="42"/>
      <c r="E46" s="43">
        <f t="shared" ref="E46:P46" si="7">E37*E38</f>
        <v>154786351586.02829</v>
      </c>
      <c r="F46" s="43">
        <f t="shared" si="7"/>
        <v>155412266666.08746</v>
      </c>
      <c r="G46" s="43">
        <f t="shared" si="7"/>
        <v>145918638496.47498</v>
      </c>
      <c r="H46" s="43">
        <f t="shared" si="7"/>
        <v>146881988242.59955</v>
      </c>
      <c r="I46" s="43">
        <f t="shared" si="7"/>
        <v>159256923819.8587</v>
      </c>
      <c r="J46" s="43">
        <f t="shared" si="7"/>
        <v>167967283956.32455</v>
      </c>
      <c r="K46" s="43">
        <f t="shared" si="7"/>
        <v>145818981626.18622</v>
      </c>
      <c r="L46" s="43">
        <f t="shared" si="7"/>
        <v>149310468818.58331</v>
      </c>
      <c r="M46" s="43">
        <f t="shared" si="7"/>
        <v>137155827375.64664</v>
      </c>
      <c r="N46" s="43">
        <f t="shared" si="7"/>
        <v>141727804845.91122</v>
      </c>
      <c r="O46" s="43">
        <f t="shared" si="7"/>
        <v>137297445033.42538</v>
      </c>
      <c r="P46" s="43">
        <f t="shared" si="7"/>
        <v>152170795832.48495</v>
      </c>
    </row>
    <row r="47" spans="1:16" x14ac:dyDescent="0.25">
      <c r="A47" s="46"/>
      <c r="B47" s="47"/>
      <c r="C47" s="41"/>
      <c r="D47" s="42"/>
      <c r="E47" s="45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x14ac:dyDescent="0.25">
      <c r="A48" s="49" t="s">
        <v>76</v>
      </c>
      <c r="B48" s="47"/>
      <c r="C48" s="21" t="s">
        <v>1</v>
      </c>
      <c r="D48" s="42">
        <f>-D40</f>
        <v>-3456584760</v>
      </c>
      <c r="E48" s="45">
        <f t="shared" ref="E48:P48" si="8">E46-(E43+E41+E42)</f>
        <v>149660728807.84744</v>
      </c>
      <c r="F48" s="45">
        <f t="shared" si="8"/>
        <v>150267866435.50485</v>
      </c>
      <c r="G48" s="45">
        <f t="shared" si="8"/>
        <v>141059047110.98071</v>
      </c>
      <c r="H48" s="45">
        <f t="shared" si="8"/>
        <v>141993496364.72156</v>
      </c>
      <c r="I48" s="45">
        <f t="shared" si="8"/>
        <v>153997183874.66293</v>
      </c>
      <c r="J48" s="45">
        <f t="shared" si="8"/>
        <v>162446233207.03482</v>
      </c>
      <c r="K48" s="45">
        <f t="shared" si="8"/>
        <v>140962379946.80063</v>
      </c>
      <c r="L48" s="45">
        <f t="shared" si="8"/>
        <v>144349122523.42581</v>
      </c>
      <c r="M48" s="45">
        <f t="shared" si="8"/>
        <v>132559120323.77724</v>
      </c>
      <c r="N48" s="45">
        <f t="shared" si="8"/>
        <v>136993938469.93388</v>
      </c>
      <c r="O48" s="45">
        <f t="shared" si="8"/>
        <v>132696489451.82262</v>
      </c>
      <c r="P48" s="45">
        <f t="shared" si="8"/>
        <v>147123639726.9104</v>
      </c>
    </row>
    <row r="49" spans="1:16" x14ac:dyDescent="0.25">
      <c r="A49" s="51" t="s">
        <v>77</v>
      </c>
      <c r="B49" s="47"/>
      <c r="C49" s="41"/>
      <c r="D49" s="42"/>
      <c r="E49" s="45">
        <f t="shared" ref="E49:P49" si="9">E48*30%</f>
        <v>44898218642.354233</v>
      </c>
      <c r="F49" s="45">
        <f t="shared" si="9"/>
        <v>45080359930.651451</v>
      </c>
      <c r="G49" s="45">
        <f t="shared" si="9"/>
        <v>42317714133.294212</v>
      </c>
      <c r="H49" s="45">
        <f t="shared" si="9"/>
        <v>42598048909.416466</v>
      </c>
      <c r="I49" s="45">
        <f t="shared" si="9"/>
        <v>46199155162.39888</v>
      </c>
      <c r="J49" s="45">
        <f t="shared" si="9"/>
        <v>48733869962.110443</v>
      </c>
      <c r="K49" s="45">
        <f t="shared" si="9"/>
        <v>42288713984.040184</v>
      </c>
      <c r="L49" s="45">
        <f t="shared" si="9"/>
        <v>43304736757.02774</v>
      </c>
      <c r="M49" s="45">
        <f t="shared" si="9"/>
        <v>39767736097.133171</v>
      </c>
      <c r="N49" s="45">
        <f t="shared" si="9"/>
        <v>41098181540.980164</v>
      </c>
      <c r="O49" s="45">
        <f t="shared" si="9"/>
        <v>39808946835.546783</v>
      </c>
      <c r="P49" s="45">
        <f t="shared" si="9"/>
        <v>44137091918.07312</v>
      </c>
    </row>
    <row r="50" spans="1:16" x14ac:dyDescent="0.25">
      <c r="A50" s="49" t="s">
        <v>78</v>
      </c>
      <c r="B50" s="47"/>
      <c r="C50" s="41"/>
      <c r="D50" s="42">
        <f>D48</f>
        <v>-3456584760</v>
      </c>
      <c r="E50" s="45">
        <f t="shared" ref="E50:P50" si="10">E48-E49</f>
        <v>104762510165.49321</v>
      </c>
      <c r="F50" s="45">
        <f t="shared" si="10"/>
        <v>105187506504.85339</v>
      </c>
      <c r="G50" s="45">
        <f t="shared" si="10"/>
        <v>98741332977.686493</v>
      </c>
      <c r="H50" s="45">
        <f t="shared" si="10"/>
        <v>99395447455.305084</v>
      </c>
      <c r="I50" s="45">
        <f t="shared" si="10"/>
        <v>107798028712.26405</v>
      </c>
      <c r="J50" s="45">
        <f t="shared" si="10"/>
        <v>113712363244.92438</v>
      </c>
      <c r="K50" s="45">
        <f t="shared" si="10"/>
        <v>98673665962.760437</v>
      </c>
      <c r="L50" s="45">
        <f t="shared" si="10"/>
        <v>101044385766.39807</v>
      </c>
      <c r="M50" s="45">
        <f t="shared" si="10"/>
        <v>92791384226.644073</v>
      </c>
      <c r="N50" s="45">
        <f t="shared" si="10"/>
        <v>95895756928.95372</v>
      </c>
      <c r="O50" s="45">
        <f t="shared" si="10"/>
        <v>92887542616.275833</v>
      </c>
      <c r="P50" s="45">
        <f t="shared" si="10"/>
        <v>102986547808.83728</v>
      </c>
    </row>
    <row r="51" spans="1:16" x14ac:dyDescent="0.25">
      <c r="A51" s="46"/>
      <c r="B51" s="47"/>
      <c r="C51" s="41"/>
      <c r="D51" s="42"/>
      <c r="E51" s="45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x14ac:dyDescent="0.25">
      <c r="A52" s="72" t="s">
        <v>91</v>
      </c>
      <c r="B52" s="47"/>
      <c r="C52" s="41"/>
      <c r="D52" s="42">
        <f>D50</f>
        <v>-3456584760</v>
      </c>
      <c r="E52" s="45">
        <f t="shared" ref="E52:P52" si="11">D52+E50</f>
        <v>101305925405.49321</v>
      </c>
      <c r="F52" s="45">
        <f t="shared" si="11"/>
        <v>206493431910.34662</v>
      </c>
      <c r="G52" s="45">
        <f t="shared" si="11"/>
        <v>305234764888.03308</v>
      </c>
      <c r="H52" s="45">
        <f t="shared" si="11"/>
        <v>404630212343.33813</v>
      </c>
      <c r="I52" s="45">
        <f t="shared" si="11"/>
        <v>512428241055.60217</v>
      </c>
      <c r="J52" s="45">
        <f t="shared" si="11"/>
        <v>626140604300.52661</v>
      </c>
      <c r="K52" s="45">
        <f t="shared" si="11"/>
        <v>724814270263.28711</v>
      </c>
      <c r="L52" s="45">
        <f t="shared" si="11"/>
        <v>825858656029.68518</v>
      </c>
      <c r="M52" s="45">
        <f t="shared" si="11"/>
        <v>918650040256.32922</v>
      </c>
      <c r="N52" s="45">
        <f t="shared" si="11"/>
        <v>1014545797185.283</v>
      </c>
      <c r="O52" s="45">
        <f t="shared" si="11"/>
        <v>1107433339801.5588</v>
      </c>
      <c r="P52" s="45">
        <f t="shared" si="11"/>
        <v>1210419887610.396</v>
      </c>
    </row>
    <row r="53" spans="1:16" x14ac:dyDescent="0.25">
      <c r="A53" s="48"/>
      <c r="B53" s="49"/>
      <c r="C53" s="50"/>
      <c r="D53" s="51"/>
      <c r="E53" s="52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</row>
    <row r="57" spans="1:16" x14ac:dyDescent="0.25">
      <c r="A57" s="54"/>
      <c r="B57" s="54"/>
      <c r="C57" s="55"/>
      <c r="D57" s="54"/>
      <c r="E57" s="56"/>
      <c r="F57" s="54"/>
      <c r="G57" s="54"/>
      <c r="H57" s="54"/>
    </row>
    <row r="58" spans="1:16" x14ac:dyDescent="0.25">
      <c r="A58" s="54"/>
      <c r="B58" s="54"/>
      <c r="C58" s="55"/>
      <c r="D58" s="54"/>
      <c r="E58" s="57"/>
      <c r="F58" s="57"/>
      <c r="G58" s="57"/>
      <c r="H58" s="57"/>
    </row>
    <row r="59" spans="1:16" x14ac:dyDescent="0.25">
      <c r="A59" s="58" t="s">
        <v>79</v>
      </c>
      <c r="B59" s="59">
        <v>0.1</v>
      </c>
      <c r="C59" s="60"/>
      <c r="D59" s="54"/>
      <c r="E59" s="61"/>
      <c r="F59" s="54"/>
      <c r="G59" s="54"/>
      <c r="H59" s="56"/>
      <c r="J59" s="14"/>
      <c r="K59" s="77"/>
    </row>
    <row r="60" spans="1:16" x14ac:dyDescent="0.25">
      <c r="A60" s="58" t="s">
        <v>80</v>
      </c>
      <c r="B60" s="62">
        <f>NPV(B59,D50,E50,F50,G50,H50,I50:P50)</f>
        <v>628526196868.70618</v>
      </c>
      <c r="C60" s="63"/>
      <c r="D60" s="64"/>
      <c r="E60" s="65"/>
      <c r="F60" s="56"/>
      <c r="G60" s="54"/>
      <c r="H60" s="54"/>
    </row>
    <row r="61" spans="1:16" x14ac:dyDescent="0.25">
      <c r="A61" s="78" t="s">
        <v>81</v>
      </c>
      <c r="B61" s="79">
        <f>IRR(D50:P50,B59)</f>
        <v>30.31013149881689</v>
      </c>
      <c r="C61" s="80"/>
      <c r="D61" s="66"/>
      <c r="E61" s="67"/>
      <c r="F61" s="57"/>
      <c r="G61" s="57"/>
      <c r="H61" s="57"/>
    </row>
    <row r="62" spans="1:16" x14ac:dyDescent="0.25">
      <c r="A62" s="84"/>
      <c r="B62" s="85"/>
      <c r="C62" s="86"/>
      <c r="D62" s="68"/>
      <c r="E62" s="54"/>
      <c r="F62" s="54"/>
      <c r="G62" s="54"/>
      <c r="H62" s="54"/>
    </row>
    <row r="63" spans="1:16" x14ac:dyDescent="0.25">
      <c r="A63" s="81"/>
      <c r="B63" s="82"/>
      <c r="C63" s="83"/>
      <c r="D63" s="54"/>
      <c r="E63" s="54"/>
      <c r="F63" s="54"/>
      <c r="G63" s="54"/>
      <c r="H63" s="54"/>
    </row>
  </sheetData>
  <mergeCells count="2">
    <mergeCell ref="B3:E3"/>
    <mergeCell ref="B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BIAYA KEPEMILIKAN DT BB</vt:lpstr>
      <vt:lpstr>BIAYA KEPEMILIKAN EXA BB</vt:lpstr>
      <vt:lpstr>BIAYA SEWA ALAT BERAT</vt:lpstr>
      <vt:lpstr>HBA</vt:lpstr>
      <vt:lpstr>CASH FLOW BELI LANGSUNG</vt:lpstr>
      <vt:lpstr>CASH FLOW SEWA</vt:lpstr>
      <vt:lpstr>NPV</vt:lpstr>
      <vt:lpstr>IRR</vt:lpstr>
      <vt:lpstr>CASH FLOW BULANAN BELI LANGSUNG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2021-09-25T06:04:26Z</dcterms:created>
  <dcterms:modified xsi:type="dcterms:W3CDTF">2022-06-07T16:51:34Z</dcterms:modified>
</cp:coreProperties>
</file>